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<sst xmlns="http://schemas.openxmlformats.org/spreadsheetml/2006/main" count="567" uniqueCount="507">
  <si>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</si>
  <si>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</si>
  <si>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</si>
  <si>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</si>
  <si>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</si>
  <si>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</si>
  <si>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</si>
  <si>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</si>
  <si>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</si>
  <si>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</si>
  <si>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</si>
  <si>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</si>
  <si>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</si>
  <si>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</si>
  <si>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</si>
  <si>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</si>
  <si>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</si>
  <si>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</si>
  <si>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</si>
  <si>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</si>
  <si>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</si>
  <si>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</si>
  <si>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</si>
  <si>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</si>
  <si>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</si>
  <si>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</si>
  <si>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</si>
  <si>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</si>
  <si>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</si>
  <si>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</si>
  <si>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</si>
  <si>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</si>
  <si>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</si>
  <si>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</si>
  <si>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</si>
  <si>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</si>
  <si>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</si>
  <si>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</si>
  <si>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</si>
  <si>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</si>
  <si>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</si>
  <si>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</si>
  <si>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</si>
  <si>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</si>
  <si>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</si>
  <si>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</si>
  <si>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</si>
  <si>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</si>
  <si>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</si>
  <si>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</si>
  <si>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</si>
  <si>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</si>
  <si>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</si>
  <si>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</si>
  <si>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</si>
  <si>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</si>
  <si>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</si>
  <si>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</si>
  <si>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</si>
  <si>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</si>
  <si>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</si>
  <si>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</si>
  <si>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</si>
  <si>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</si>
  <si>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</si>
  <si>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</si>
  <si>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</si>
  <si>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</si>
  <si>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</si>
  <si>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</si>
  <si>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</si>
  <si>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</si>
  <si>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</si>
  <si>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</si>
  <si>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</si>
  <si>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</si>
  <si>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</si>
  <si>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</si>
  <si>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</si>
  <si>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</si>
  <si>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</si>
  <si>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</si>
  <si>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</si>
  <si>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</si>
  <si>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</si>
  <si>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</si>
  <si>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</si>
  <si>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</si>
  <si>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</si>
  <si>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</si>
  <si>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</si>
  <si>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</si>
  <si>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</si>
  <si>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</si>
  <si>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</si>
  <si>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</si>
  <si>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</si>
  <si>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</si>
  <si>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</si>
  <si>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</si>
  <si>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</si>
  <si>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</si>
  <si>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</si>
  <si>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</si>
  <si>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</si>
  <si>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</si>
  <si>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</si>
  <si>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</si>
  <si>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</si>
  <si>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</si>
  <si>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</si>
  <si>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</si>
  <si>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</si>
  <si>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</si>
  <si>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</si>
  <si>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</si>
  <si>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</si>
  <si>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</si>
  <si>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</si>
  <si>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</si>
  <si>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</si>
  <si>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</si>
  <si>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</si>
  <si>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</si>
  <si>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</si>
  <si>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</si>
  <si>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</si>
  <si>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</si>
  <si>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</si>
  <si>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</si>
  <si>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</si>
  <si>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</si>
  <si>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</si>
  <si>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</si>
  <si>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</si>
  <si>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</si>
  <si>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</si>
  <si>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</si>
  <si>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</si>
  <si>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</si>
  <si>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</si>
  <si>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</si>
  <si>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</si>
  <si>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</si>
  <si>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</si>
  <si>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</si>
  <si>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</si>
  <si>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</si>
  <si>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</si>
  <si>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</si>
  <si>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</si>
  <si>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</si>
  <si>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</si>
  <si>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</si>
  <si>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</si>
  <si>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</si>
  <si>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</si>
  <si>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</si>
  <si>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</si>
  <si>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</si>
  <si>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</si>
  <si>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</si>
  <si>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</si>
  <si>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</si>
  <si>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</si>
  <si>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</si>
  <si>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</si>
  <si>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</si>
  <si>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</si>
  <si>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</si>
  <si>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</si>
  <si>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</si>
  <si>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</si>
  <si>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</si>
  <si>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</si>
  <si>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</si>
  <si>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</si>
  <si>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</si>
  <si>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</si>
  <si>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</si>
  <si>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</si>
  <si>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</si>
  <si>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</si>
  <si>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</si>
  <si>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</si>
  <si>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</si>
  <si>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</si>
  <si>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</si>
  <si>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</si>
  <si>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</si>
  <si>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</si>
  <si>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</si>
  <si>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</si>
  <si>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</si>
  <si>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</si>
  <si>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</si>
  <si>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</si>
  <si>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</si>
  <si>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</si>
  <si>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</si>
  <si>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</si>
  <si>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</si>
  <si>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</si>
  <si>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</si>
  <si>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</si>
  <si>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</si>
  <si>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</si>
  <si>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</si>
  <si>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</si>
  <si>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</si>
  <si>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</si>
  <si>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</si>
  <si>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</si>
  <si>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</si>
  <si>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</si>
  <si>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</si>
  <si>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</si>
  <si>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</si>
  <si>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</si>
  <si>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</si>
  <si>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</si>
  <si>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</si>
  <si>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</si>
  <si>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</si>
  <si>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</si>
  <si>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</si>
  <si>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</si>
  <si>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</si>
  <si>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</si>
  <si>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</si>
  <si>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</si>
  <si>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</si>
  <si>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</si>
  <si>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</si>
  <si>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</si>
  <si>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</si>
  <si>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</si>
  <si>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</si>
  <si>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</si>
  <si>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</si>
  <si>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</si>
  <si>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</si>
  <si>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</si>
  <si>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</si>
  <si>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</si>
  <si>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</si>
  <si>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</si>
  <si>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</si>
  <si>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</si>
  <si>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</si>
  <si>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</si>
  <si>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</si>
  <si>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</si>
  <si>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</si>
  <si>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</si>
  <si>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</si>
  <si>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</si>
  <si>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</si>
  <si>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</si>
  <si>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</si>
  <si>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</si>
  <si>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</si>
  <si>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</si>
  <si>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</si>
  <si>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</si>
  <si>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</si>
  <si>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</si>
  <si>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</si>
  <si>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</si>
  <si>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</si>
  <si>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</si>
  <si>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</si>
  <si>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</si>
  <si>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</si>
  <si>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</si>
  <si>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</si>
  <si>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</si>
  <si>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</si>
  <si>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</si>
  <si>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</si>
  <si>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</si>
  <si>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</si>
  <si>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</si>
  <si>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</si>
  <si>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</si>
  <si>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</si>
  <si>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</si>
  <si>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</si>
  <si>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</si>
  <si>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</si>
  <si>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</si>
  <si>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</si>
  <si>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</si>
  <si>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</si>
  <si>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</si>
  <si>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</si>
  <si>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</si>
  <si>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</si>
  <si>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</si>
  <si>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</si>
  <si>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</si>
  <si>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</si>
  <si>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</si>
  <si>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</si>
  <si>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</si>
  <si>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</si>
  <si>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</si>
  <si>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</si>
  <si>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</si>
  <si>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</si>
  <si>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</si>
  <si>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</si>
  <si>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</si>
  <si>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</si>
  <si>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</si>
  <si>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</si>
  <si>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</si>
  <si>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</si>
  <si>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</si>
  <si>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</si>
  <si>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</si>
  <si>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</si>
  <si>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</si>
  <si>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</si>
  <si>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</si>
  <si>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</si>
  <si>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</si>
  <si>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</si>
  <si>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</si>
  <si>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</si>
  <si>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</si>
  <si>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</si>
  <si>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</si>
  <si>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</si>
  <si>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</si>
  <si>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</si>
  <si>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</si>
  <si>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</si>
  <si>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</si>
  <si>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</si>
  <si>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</si>
  <si>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</si>
  <si>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</si>
  <si>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</si>
  <si>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</si>
  <si>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</si>
  <si>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</si>
  <si>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</si>
  <si>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</si>
  <si>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</si>
  <si>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</si>
  <si>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</si>
  <si>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</si>
  <si>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</si>
  <si>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</si>
  <si>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</si>
  <si>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</si>
  <si>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</si>
  <si>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</si>
  <si>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</si>
  <si>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</si>
  <si>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</si>
  <si>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</si>
  <si>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</si>
  <si>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</si>
  <si>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</si>
  <si>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</si>
  <si>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</si>
  <si>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</si>
  <si>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</si>
  <si>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</si>
  <si>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</si>
  <si>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</si>
  <si>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</si>
  <si>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</si>
  <si>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</si>
  <si>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</si>
  <si>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</si>
  <si>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</si>
  <si>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</si>
  <si>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</si>
  <si>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</si>
  <si>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</si>
  <si>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</si>
  <si>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</si>
  <si>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</si>
  <si>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</si>
  <si>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</si>
  <si>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</si>
  <si>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</si>
  <si>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</si>
  <si>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</si>
  <si>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</si>
  <si>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</si>
  <si>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</si>
  <si>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</si>
  <si>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</si>
  <si>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</si>
  <si>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</si>
  <si>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</si>
  <si>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</si>
  <si>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</si>
  <si>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</si>
  <si>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</si>
  <si>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</si>
  <si>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</si>
  <si>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</si>
  <si>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</si>
  <si>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</si>
  <si>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</si>
  <si>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</si>
  <si>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</si>
  <si>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</si>
  <si>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</si>
  <si>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</si>
  <si>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</si>
  <si>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</si>
  <si>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</si>
  <si>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</si>
  <si>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</si>
  <si>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</si>
  <si>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</si>
  <si>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</si>
  <si>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</si>
  <si>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</si>
  <si>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</si>
  <si>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</si>
  <si>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</si>
  <si>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</si>
  <si>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</si>
  <si>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</si>
  <si>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</si>
  <si>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</si>
  <si>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</si>
  <si>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</si>
  <si>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</si>
  <si>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</si>
  <si>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</si>
  <si>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</si>
  <si>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</si>
  <si>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</si>
  <si>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</si>
  <si>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</si>
  <si>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</si>
  <si>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</si>
  <si>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</si>
  <si>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</si>
  <si>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</si>
  <si>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</si>
  <si>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</si>
  <si>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</si>
  <si>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</si>
  <si>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</si>
  <si>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</si>
  <si>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</si>
  <si>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</si>
  <si>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</si>
  <si>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</si>
  <si>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</si>
  <si>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</si>
  <si>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</si>
  <si>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</si>
  <si>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</si>
  <si>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</si>
  <si>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</si>
  <si>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</si>
  <si>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</si>
  <si>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</si>
  <si>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</si>
  <si>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</si>
  <si>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</si>
  <si>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</si>
  <si>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</si>
  <si>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</si>
  <si>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</si>
  <si>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</si>
  <si>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</si>
  <si>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</si>
  <si>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</si>
  <si>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</si>
  <si>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</si>
  <si>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</si>
  <si>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</si>
  <si>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</si>
  <si>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</si>
  <si>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</si>
  <si>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</si>
  <si>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</si>
  <si>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</si>
  <si>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</si>
  <si>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</si>
  <si>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</si>
  <si>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</si>
  <si>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</si>
  <si>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</si>
  <si>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</si>
  <si>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</si>
  <si>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</si>
  <si>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</si>
  <si>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HUNEDOARA</t>
  </si>
  <si>
    <t>DIRECTOR GENERAL,</t>
  </si>
  <si>
    <t>EC. DAVID ADRIAN</t>
  </si>
  <si>
    <t>EC. CUMPANASU ECATERINA</t>
  </si>
  <si>
    <t xml:space="preserve">       DIRECTOR ECONOMIC,</t>
  </si>
  <si>
    <t xml:space="preserve">     DIRECTOR ECONOMIC,</t>
  </si>
  <si>
    <t>CONT DE EXECUTIE VENITURI APRILIE 2021</t>
  </si>
  <si>
    <t>CONT DE EXECUTIE CHELTUIELI APRILIE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</si>
</sst>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
  </numFmts>
  <fonts count="5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172" fontId="2" fillId="0" borderId="10" xfId="56" applyNumberFormat="1" applyFont="1" applyFill="1" applyBorder="1" applyAlignment="1">
      <alignment vertical="top" wrapText="1"/>
      <protection/>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tabSelected="1" zoomScalePageLayoutView="0" workbookViewId="0" topLeftCell="A1">
      <pane xSplit="4" ySplit="6" topLeftCell="F16" activePane="bottomRight" state="frozen"/>
      <selection pane="topLeft" activeCell="C79" sqref="C79:E79"/>
      <selection pane="topRight" activeCell="C79" sqref="C79:E79"/>
      <selection pane="bottomLeft" activeCell="C79" sqref="C79:E79"/>
      <selection pane="bottomRight" activeCell="F25" sqref="F25"/>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370866040</v>
      </c>
      <c r="E7" s="86">
        <f>+E8+E64+E101+E91+E88</f>
        <v>0</v>
      </c>
      <c r="F7" s="86">
        <f>+F8+F64+F101+F91+F88</f>
        <v>122306548.45</v>
      </c>
      <c r="G7" s="86">
        <f>+G8+G64+G101+G91+G88</f>
        <v>30881416.5</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366679000</v>
      </c>
      <c r="E8" s="86">
        <f>+E14+E51+E9</f>
        <v>0</v>
      </c>
      <c r="F8" s="86">
        <f>+F14+F51+F9</f>
        <v>123000059.45</v>
      </c>
      <c r="G8" s="86">
        <f>+G14+G51+G9</f>
        <v>31050055.5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1000</v>
      </c>
      <c r="E9" s="86">
        <f>+E10+E11+E12+E13</f>
        <v>0</v>
      </c>
      <c r="F9" s="86">
        <f>+F10+F11+F12+F13</f>
        <v>464</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v>1000</v>
      </c>
      <c r="E10" s="86"/>
      <c r="F10" s="86">
        <v>464</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366466000</v>
      </c>
      <c r="E14" s="86">
        <f>+E15+E27</f>
        <v>0</v>
      </c>
      <c r="F14" s="86">
        <f>+F15+F27</f>
        <v>122904322.12</v>
      </c>
      <c r="G14" s="86">
        <f>+G15+G27</f>
        <v>31038021.44</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15928000</v>
      </c>
      <c r="E15" s="86">
        <f>+E16+E23+E26</f>
        <v>0</v>
      </c>
      <c r="F15" s="86">
        <f>+F16+F23+F26</f>
        <v>5925105.32</v>
      </c>
      <c r="G15" s="86">
        <f>+G16+G23+G26</f>
        <v>1469752.44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0</v>
      </c>
      <c r="E16" s="86">
        <f>E17+E18+E20+E21+E22+E19</f>
        <v>0</v>
      </c>
      <c r="F16" s="86">
        <f>F17+F18+F20+F21+F22+F19</f>
        <v>333785</v>
      </c>
      <c r="G16" s="86">
        <f>G17+G18+G20+G21+G22+G19</f>
        <v>34889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0</v>
      </c>
      <c r="E17" s="86"/>
      <c r="F17" s="45">
        <f>248218+50678+34889</f>
        <v>333785</v>
      </c>
      <c r="G17" s="45">
        <v>34889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0</v>
      </c>
      <c r="E23" s="86">
        <f>E24+E25</f>
        <v>0</v>
      </c>
      <c r="F23" s="86">
        <f>F24+F25</f>
        <v>36784</v>
      </c>
      <c r="G23" s="86">
        <f>G24+G25</f>
        <v>5263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f>28457+2962+102+5163+100</f>
        <v>36784</v>
      </c>
      <c r="G24" s="45">
        <f>5163+100</f>
        <v>5263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15928000</v>
      </c>
      <c r="E26" s="86"/>
      <c r="F26" s="45">
        <f>2709045.3+1415890.58+1429600.44</f>
        <v>5554536.32</v>
      </c>
      <c r="G26" s="45">
        <v>1429600.44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350538000</v>
      </c>
      <c r="E27" s="86">
        <f>E28+E34+E50+E35+E36+E37+E38+E39+E40+E41+E42+E43+E44+E45+E46+E47+E48+E49</f>
        <v>0</v>
      </c>
      <c r="F27" s="86">
        <f>F28+F34+F50+F35+F36+F37+F38+F39+F40+F41+F42+F43+F44+F45+F46+F47+F48+F49</f>
        <v>116979216.8</v>
      </c>
      <c r="G27" s="86">
        <f>G28+G34+G50+G35+G36+G37+G38+G39+G40+G41+G42+G43+G44+G45+G46+G47+G48+G49</f>
        <v>29568269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343245000</v>
      </c>
      <c r="E28" s="86">
        <f>E29+E30+E31+E32+E33</f>
        <v>0</v>
      </c>
      <c r="F28" s="86">
        <f>F29+F30+F31+F32+F33</f>
        <v>113760160</v>
      </c>
      <c r="G28" s="86">
        <f>G29+G30+G31+G32+G33</f>
        <v>28803285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343245000</v>
      </c>
      <c r="E29" s="86"/>
      <c r="F29" s="45">
        <f>56124488+28992994+28796440</f>
        <v>113913922</v>
      </c>
      <c r="G29" s="45">
        <v>28796440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-289307+56315+6845</f>
        <v>-226147</v>
      </c>
      <c r="G30" s="45">
        <v>6845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1983+70402</f>
        <v>72385</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5000</v>
      </c>
      <c r="E36" s="86"/>
      <c r="F36" s="45">
        <f>834+711+285</f>
        <v>1830</v>
      </c>
      <c r="G36" s="45">
        <v>285</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63+52+61</f>
        <v>176</v>
      </c>
      <c r="G37" s="45">
        <v>61</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1000</v>
      </c>
      <c r="E42" s="86"/>
      <c r="F42" s="45">
        <v>-26</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-3704+815-1092</f>
        <v>-3981</v>
      </c>
      <c r="G43" s="45">
        <v>-1092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c r="E44" s="86"/>
      <c r="F44" s="45">
        <f>162429+126495+81431</f>
        <v>370355</v>
      </c>
      <c r="G44" s="45">
        <v>81431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75000</v>
      </c>
      <c r="E45" s="86"/>
      <c r="F45" s="45">
        <f>11674+11943.8+8075</f>
        <v>31692.8</v>
      </c>
      <c r="G45" s="45">
        <v>8075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107000</v>
      </c>
      <c r="E48" s="86"/>
      <c r="F48" s="45">
        <f>13047+8885+11142</f>
        <v>33074</v>
      </c>
      <c r="G48" s="45">
        <v>11142</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7105000</v>
      </c>
      <c r="E49" s="86"/>
      <c r="F49" s="45">
        <f>1163594+957260+665082</f>
        <v>2785936</v>
      </c>
      <c r="G49" s="45">
        <v>665082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212000</v>
      </c>
      <c r="E51" s="86">
        <f>+E52+E57</f>
        <v>0</v>
      </c>
      <c r="F51" s="86">
        <f>+F52+F57</f>
        <v>95273.33</v>
      </c>
      <c r="G51" s="86">
        <f>+G52+G57</f>
        <v>12034.06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212000</v>
      </c>
      <c r="E57" s="86">
        <f>+E58+E62</f>
        <v>0</v>
      </c>
      <c r="F57" s="86">
        <f>+F58+F62</f>
        <v>95273.33</v>
      </c>
      <c r="G57" s="86">
        <f>+G58+G62</f>
        <v>12034.06</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212000</v>
      </c>
      <c r="E58" s="86">
        <f>E61+E59+E60</f>
        <v>0</v>
      </c>
      <c r="F58" s="86">
        <f>F61+F59+F60</f>
        <v>95273.33</v>
      </c>
      <c r="G58" s="86">
        <f>G61+G59+G60</f>
        <v>12034.06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212000</v>
      </c>
      <c r="E61" s="86"/>
      <c r="F61" s="45">
        <f>63190.36+20048.91+12034.06</f>
        <v>95273.33</v>
      </c>
      <c r="G61" s="45">
        <v>12034.06</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4187040</v>
      </c>
      <c r="E64" s="86">
        <f>+E65</f>
        <v>0</v>
      </c>
      <c r="F64" s="86">
        <f>+F65</f>
        <v>-17</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4187040</v>
      </c>
      <c r="E65" s="86">
        <f>+E66+E79</f>
        <v>0</v>
      </c>
      <c r="F65" s="86">
        <f>+F66+F79</f>
        <v>-17</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4187040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4187040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-17</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-17</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472</v>
      </c>
      <c r="B91" s="84" t="s">
        <v>169</v>
      </c>
      <c r="C91" s="86">
        <f aca="true" t="shared" si="1" ref="C91:G92">C92</f>
        <v>0</v>
      </c>
      <c r="D91" s="86">
        <f t="shared" si="1"/>
        <v>0</v>
      </c>
      <c r="E91" s="86">
        <f t="shared" si="1"/>
        <v>0</v>
      </c>
      <c r="F91" s="86">
        <f t="shared" si="1"/>
        <v>0</v>
      </c>
      <c r="G91" s="86">
        <f t="shared" si="1"/>
        <v>0</v>
      </c>
      <c r="BN91" s="6"/>
    </row>
    <row r="92" spans="1:66" ht="15">
      <c r="A92" s="81" t="s">
        <v>473</v>
      </c>
      <c r="B92" s="83" t="s">
        <v>171</v>
      </c>
      <c r="C92" s="86">
        <f t="shared" si="1"/>
        <v>0</v>
      </c>
      <c r="D92" s="86">
        <f t="shared" si="1"/>
        <v>0</v>
      </c>
      <c r="E92" s="86">
        <f t="shared" si="1"/>
        <v>0</v>
      </c>
      <c r="F92" s="86">
        <f t="shared" si="1"/>
        <v>0</v>
      </c>
      <c r="G92" s="86">
        <f t="shared" si="1"/>
        <v>0</v>
      </c>
      <c r="BN92" s="6"/>
    </row>
    <row r="93" spans="1:66" ht="15">
      <c r="A93" s="81" t="s">
        <v>474</v>
      </c>
      <c r="B93" s="83" t="s">
        <v>467</v>
      </c>
      <c r="C93" s="86"/>
      <c r="D93" s="86"/>
      <c r="E93" s="86"/>
      <c r="F93" s="45"/>
      <c r="G93" s="45"/>
      <c r="BN93" s="6"/>
    </row>
    <row r="94" spans="1:66" ht="30">
      <c r="A94" s="84" t="s">
        <v>475</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468</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476</v>
      </c>
      <c r="B98" s="83" t="s">
        <v>469</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477</v>
      </c>
      <c r="B99" s="83" t="s">
        <v>470</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-693494</v>
      </c>
      <c r="G101" s="86">
        <f>G102</f>
        <v>-168639</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-724003+199148-168639</f>
        <v>-693494</v>
      </c>
      <c r="G102" s="45">
        <v>-168639</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500</v>
      </c>
      <c r="C105" s="5"/>
      <c r="D105" s="46"/>
      <c r="E105" s="46"/>
      <c r="F105" s="5" t="s">
        <v>503</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501</v>
      </c>
      <c r="C106" s="5"/>
      <c r="D106" s="46"/>
      <c r="E106" s="46"/>
      <c r="F106" s="5" t="s">
        <v>502</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F93:G93 D23:G23 D55:G55 C57:G57 C64:G65 D79:G79" name="Zonă1"/>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zoomScale="90" zoomScaleNormal="90" zoomScalePageLayoutView="0" workbookViewId="0" topLeftCell="A1">
      <pane xSplit="3" ySplit="6" topLeftCell="D199" activePane="bottomRight" state="frozen"/>
      <selection pane="topLeft" activeCell="G7" sqref="G7:H209"/>
      <selection pane="topRight" activeCell="G7" sqref="G7:H209"/>
      <selection pane="bottomLeft" activeCell="G7" sqref="G7:H209"/>
      <selection pane="bottomRight" activeCell="G205" sqref="G205"/>
    </sheetView>
  </sheetViews>
  <sheetFormatPr defaultColWidth="9.140625" defaultRowHeight="12.75"/>
  <cols>
    <col min="1" max="1" width="14.28125" style="1" customWidth="1"/>
    <col min="2" max="2" width="71.28125" style="4" customWidth="1"/>
    <col min="3" max="3" width="7.8515625" style="4" customWidth="1"/>
    <col min="4" max="4" width="15.8515625" style="4" customWidth="1"/>
    <col min="5" max="5" width="15.281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506</v>
      </c>
      <c r="C1" s="3"/>
    </row>
    <row r="2" spans="2:3" ht="15">
      <c r="B2" s="3" t="s">
        <v>499</v>
      </c>
      <c r="C2" s="3"/>
    </row>
    <row r="3" spans="2:4" ht="15">
      <c r="B3" s="3"/>
      <c r="C3" s="3"/>
      <c r="D3" s="6"/>
    </row>
    <row r="4" spans="4:8" ht="15">
      <c r="D4" s="7"/>
      <c r="E4" s="7"/>
      <c r="F4" s="8"/>
      <c r="G4" s="9"/>
      <c r="H4" s="98" t="s">
        <v>466</v>
      </c>
    </row>
    <row r="5" spans="1:8" s="13" customFormat="1" ht="75">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582304040</v>
      </c>
      <c r="E7" s="87">
        <f t="shared" si="0"/>
        <v>591823810</v>
      </c>
      <c r="F7" s="87">
        <f t="shared" si="0"/>
        <v>7501000</v>
      </c>
      <c r="G7" s="87">
        <f t="shared" si="0"/>
        <v>339206876.04</v>
      </c>
      <c r="H7" s="87">
        <f t="shared" si="0"/>
        <v>84352336.15999998</v>
      </c>
    </row>
    <row r="8" spans="1:8" s="19" customFormat="1" ht="15">
      <c r="A8" s="17" t="s">
        <v>202</v>
      </c>
      <c r="B8" s="20" t="s">
        <v>189</v>
      </c>
      <c r="C8" s="88">
        <f aca="true" t="shared" si="1" ref="C8:H8">+C9+C10+C13+C11+C12+C15+C183+C14</f>
        <v>0</v>
      </c>
      <c r="D8" s="88">
        <f t="shared" si="1"/>
        <v>582257040</v>
      </c>
      <c r="E8" s="88">
        <f t="shared" si="1"/>
        <v>591776810</v>
      </c>
      <c r="F8" s="88">
        <f t="shared" si="1"/>
        <v>7501000</v>
      </c>
      <c r="G8" s="88">
        <f t="shared" si="1"/>
        <v>339206876.04</v>
      </c>
      <c r="H8" s="88">
        <f t="shared" si="1"/>
        <v>84352336.15999998</v>
      </c>
    </row>
    <row r="9" spans="1:8" s="19" customFormat="1" ht="15">
      <c r="A9" s="17" t="s">
        <v>204</v>
      </c>
      <c r="B9" s="20" t="s">
        <v>190</v>
      </c>
      <c r="C9" s="88">
        <f aca="true" t="shared" si="2" ref="C9:H9">+C23</f>
        <v>0</v>
      </c>
      <c r="D9" s="88">
        <f t="shared" si="2"/>
        <v>5979670</v>
      </c>
      <c r="E9" s="88">
        <f t="shared" si="2"/>
        <v>5979670</v>
      </c>
      <c r="F9" s="88">
        <f t="shared" si="2"/>
        <v>0</v>
      </c>
      <c r="G9" s="88">
        <f t="shared" si="2"/>
        <v>1915661</v>
      </c>
      <c r="H9" s="88">
        <f t="shared" si="2"/>
        <v>474966</v>
      </c>
    </row>
    <row r="10" spans="1:8" s="19" customFormat="1" ht="16.5" customHeight="1">
      <c r="A10" s="17" t="s">
        <v>205</v>
      </c>
      <c r="B10" s="20" t="s">
        <v>191</v>
      </c>
      <c r="C10" s="88">
        <f aca="true" t="shared" si="3" ref="C10:H10">+C44</f>
        <v>0</v>
      </c>
      <c r="D10" s="88">
        <f t="shared" si="3"/>
        <v>280980350</v>
      </c>
      <c r="E10" s="88">
        <f t="shared" si="3"/>
        <v>290500120</v>
      </c>
      <c r="F10" s="88">
        <f t="shared" si="3"/>
        <v>0</v>
      </c>
      <c r="G10" s="88">
        <f t="shared" si="3"/>
        <v>209583782.56</v>
      </c>
      <c r="H10" s="88">
        <f t="shared" si="3"/>
        <v>48144542.51999999</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C184</f>
        <v>0</v>
      </c>
      <c r="D12" s="88">
        <f t="shared" si="5"/>
        <v>245696500</v>
      </c>
      <c r="E12" s="88">
        <f t="shared" si="5"/>
        <v>245696500</v>
      </c>
      <c r="F12" s="88">
        <f t="shared" si="5"/>
        <v>7501000</v>
      </c>
      <c r="G12" s="88">
        <f t="shared" si="5"/>
        <v>109921717</v>
      </c>
      <c r="H12" s="88">
        <f t="shared" si="5"/>
        <v>28260363</v>
      </c>
    </row>
    <row r="13" spans="1:8" s="19" customFormat="1" ht="16.5" customHeight="1">
      <c r="A13" s="17" t="s">
        <v>209</v>
      </c>
      <c r="B13" s="20" t="s">
        <v>194</v>
      </c>
      <c r="C13" s="88">
        <f aca="true" t="shared" si="6" ref="C13:H13">C200</f>
        <v>0</v>
      </c>
      <c r="D13" s="88">
        <f t="shared" si="6"/>
        <v>49595000</v>
      </c>
      <c r="E13" s="88">
        <f t="shared" si="6"/>
        <v>49595000</v>
      </c>
      <c r="F13" s="88">
        <f t="shared" si="6"/>
        <v>0</v>
      </c>
      <c r="G13" s="88">
        <f t="shared" si="6"/>
        <v>17875144</v>
      </c>
      <c r="H13" s="88">
        <f t="shared" si="6"/>
        <v>7482886</v>
      </c>
    </row>
    <row r="14" spans="1:8" s="19" customFormat="1" ht="30">
      <c r="A14" s="17" t="s">
        <v>211</v>
      </c>
      <c r="B14" s="20" t="s">
        <v>195</v>
      </c>
      <c r="C14" s="88">
        <f aca="true" t="shared" si="7" ref="C14:H14">C207</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5520</v>
      </c>
      <c r="E15" s="88">
        <f t="shared" si="8"/>
        <v>5520</v>
      </c>
      <c r="F15" s="88">
        <f t="shared" si="8"/>
        <v>0</v>
      </c>
      <c r="G15" s="88">
        <f t="shared" si="8"/>
        <v>1232</v>
      </c>
      <c r="H15" s="88">
        <f t="shared" si="8"/>
        <v>184</v>
      </c>
    </row>
    <row r="16" spans="1:8" s="19" customFormat="1" ht="16.5" customHeight="1">
      <c r="A16" s="17" t="s">
        <v>215</v>
      </c>
      <c r="B16" s="20" t="s">
        <v>198</v>
      </c>
      <c r="C16" s="88">
        <f aca="true" t="shared" si="9" ref="C16:H17">C78</f>
        <v>0</v>
      </c>
      <c r="D16" s="88">
        <f t="shared" si="9"/>
        <v>47000</v>
      </c>
      <c r="E16" s="88">
        <f t="shared" si="9"/>
        <v>47000</v>
      </c>
      <c r="F16" s="88">
        <f t="shared" si="9"/>
        <v>0</v>
      </c>
      <c r="G16" s="88">
        <f t="shared" si="9"/>
        <v>0</v>
      </c>
      <c r="H16" s="88">
        <f t="shared" si="9"/>
        <v>0</v>
      </c>
    </row>
    <row r="17" spans="1:8" s="19" customFormat="1" ht="15">
      <c r="A17" s="17" t="s">
        <v>217</v>
      </c>
      <c r="B17" s="20" t="s">
        <v>199</v>
      </c>
      <c r="C17" s="88">
        <f t="shared" si="9"/>
        <v>0</v>
      </c>
      <c r="D17" s="88">
        <f t="shared" si="9"/>
        <v>47000</v>
      </c>
      <c r="E17" s="88">
        <f t="shared" si="9"/>
        <v>47000</v>
      </c>
      <c r="F17" s="88">
        <f t="shared" si="9"/>
        <v>0</v>
      </c>
      <c r="G17" s="88">
        <f t="shared" si="9"/>
        <v>0</v>
      </c>
      <c r="H17" s="88">
        <f t="shared" si="9"/>
        <v>0</v>
      </c>
    </row>
    <row r="18" spans="1:8" s="19" customFormat="1" ht="30">
      <c r="A18" s="17" t="s">
        <v>219</v>
      </c>
      <c r="B18" s="20" t="s">
        <v>201</v>
      </c>
      <c r="C18" s="88">
        <f aca="true" t="shared" si="10" ref="C18:H18">C183+C206</f>
        <v>0</v>
      </c>
      <c r="D18" s="88">
        <f t="shared" si="10"/>
        <v>0</v>
      </c>
      <c r="E18" s="88">
        <f t="shared" si="10"/>
        <v>0</v>
      </c>
      <c r="F18" s="88">
        <f t="shared" si="10"/>
        <v>0</v>
      </c>
      <c r="G18" s="88">
        <f t="shared" si="10"/>
        <v>-96432.52</v>
      </c>
      <c r="H18" s="88">
        <f t="shared" si="10"/>
        <v>-10605.36</v>
      </c>
    </row>
    <row r="19" spans="1:8" s="19" customFormat="1" ht="16.5" customHeight="1">
      <c r="A19" s="17" t="s">
        <v>221</v>
      </c>
      <c r="B19" s="20" t="s">
        <v>203</v>
      </c>
      <c r="C19" s="88">
        <f aca="true" t="shared" si="11" ref="C19:H19">+C20+C16</f>
        <v>0</v>
      </c>
      <c r="D19" s="88">
        <f t="shared" si="11"/>
        <v>582304040</v>
      </c>
      <c r="E19" s="88">
        <f t="shared" si="11"/>
        <v>591823810</v>
      </c>
      <c r="F19" s="88">
        <f t="shared" si="11"/>
        <v>7501000</v>
      </c>
      <c r="G19" s="88">
        <f t="shared" si="11"/>
        <v>339206876.04</v>
      </c>
      <c r="H19" s="88">
        <f t="shared" si="11"/>
        <v>84352336.15999998</v>
      </c>
    </row>
    <row r="20" spans="1:8" s="19" customFormat="1" ht="15">
      <c r="A20" s="17" t="s">
        <v>223</v>
      </c>
      <c r="B20" s="20" t="s">
        <v>189</v>
      </c>
      <c r="C20" s="88">
        <f aca="true" t="shared" si="12" ref="C20:H20">C9+C10+C11+C12+C13+C15+C183+C14</f>
        <v>0</v>
      </c>
      <c r="D20" s="88">
        <f t="shared" si="12"/>
        <v>582257040</v>
      </c>
      <c r="E20" s="88">
        <f t="shared" si="12"/>
        <v>591776810</v>
      </c>
      <c r="F20" s="88">
        <f t="shared" si="12"/>
        <v>7501000</v>
      </c>
      <c r="G20" s="88">
        <f t="shared" si="12"/>
        <v>339206876.04</v>
      </c>
      <c r="H20" s="88">
        <f t="shared" si="12"/>
        <v>84352336.15999998</v>
      </c>
    </row>
    <row r="21" spans="1:8" s="19" customFormat="1" ht="16.5" customHeight="1">
      <c r="A21" s="21" t="s">
        <v>225</v>
      </c>
      <c r="B21" s="20" t="s">
        <v>206</v>
      </c>
      <c r="C21" s="88">
        <f aca="true" t="shared" si="13" ref="C21:H21">+C22+C78+C183</f>
        <v>0</v>
      </c>
      <c r="D21" s="88">
        <f t="shared" si="13"/>
        <v>532709040</v>
      </c>
      <c r="E21" s="88">
        <f t="shared" si="13"/>
        <v>542228810</v>
      </c>
      <c r="F21" s="88">
        <f t="shared" si="13"/>
        <v>7501000</v>
      </c>
      <c r="G21" s="88">
        <f t="shared" si="13"/>
        <v>321331732.04</v>
      </c>
      <c r="H21" s="88">
        <f t="shared" si="13"/>
        <v>76869450.15999998</v>
      </c>
    </row>
    <row r="22" spans="1:8" s="19" customFormat="1" ht="16.5" customHeight="1">
      <c r="A22" s="17" t="s">
        <v>227</v>
      </c>
      <c r="B22" s="20" t="s">
        <v>189</v>
      </c>
      <c r="C22" s="88">
        <f aca="true" t="shared" si="14" ref="C22:H22">+C23+C44+C72+C184+C75+C207</f>
        <v>0</v>
      </c>
      <c r="D22" s="88">
        <f t="shared" si="14"/>
        <v>532662040</v>
      </c>
      <c r="E22" s="88">
        <f t="shared" si="14"/>
        <v>542181810</v>
      </c>
      <c r="F22" s="88">
        <f t="shared" si="14"/>
        <v>7501000</v>
      </c>
      <c r="G22" s="88">
        <f t="shared" si="14"/>
        <v>321422392.56</v>
      </c>
      <c r="H22" s="88">
        <f t="shared" si="14"/>
        <v>76880055.51999998</v>
      </c>
    </row>
    <row r="23" spans="1:8" s="19" customFormat="1" ht="15">
      <c r="A23" s="17" t="s">
        <v>229</v>
      </c>
      <c r="B23" s="20" t="s">
        <v>190</v>
      </c>
      <c r="C23" s="88">
        <f aca="true" t="shared" si="15" ref="C23:H23">+C24+C36+C34</f>
        <v>0</v>
      </c>
      <c r="D23" s="88">
        <f t="shared" si="15"/>
        <v>5979670</v>
      </c>
      <c r="E23" s="88">
        <f t="shared" si="15"/>
        <v>5979670</v>
      </c>
      <c r="F23" s="88">
        <f t="shared" si="15"/>
        <v>0</v>
      </c>
      <c r="G23" s="88">
        <f t="shared" si="15"/>
        <v>1915661</v>
      </c>
      <c r="H23" s="88">
        <f t="shared" si="15"/>
        <v>474966</v>
      </c>
    </row>
    <row r="24" spans="1:8" s="19" customFormat="1" ht="16.5" customHeight="1">
      <c r="A24" s="17" t="s">
        <v>231</v>
      </c>
      <c r="B24" s="20" t="s">
        <v>210</v>
      </c>
      <c r="C24" s="88">
        <f aca="true" t="shared" si="16" ref="C24:H24">C25+C28+C29+C30+C32+C26+C27+C31</f>
        <v>0</v>
      </c>
      <c r="D24" s="88">
        <f t="shared" si="16"/>
        <v>5848200</v>
      </c>
      <c r="E24" s="88">
        <f t="shared" si="16"/>
        <v>5848200</v>
      </c>
      <c r="F24" s="88">
        <f t="shared" si="16"/>
        <v>0</v>
      </c>
      <c r="G24" s="88">
        <f t="shared" si="16"/>
        <v>1873664</v>
      </c>
      <c r="H24" s="88">
        <f t="shared" si="16"/>
        <v>464593</v>
      </c>
    </row>
    <row r="25" spans="1:8" s="19" customFormat="1" ht="16.5" customHeight="1">
      <c r="A25" s="22" t="s">
        <v>233</v>
      </c>
      <c r="B25" s="23" t="s">
        <v>212</v>
      </c>
      <c r="C25" s="89"/>
      <c r="D25" s="90">
        <v>4786070</v>
      </c>
      <c r="E25" s="90">
        <v>4786070</v>
      </c>
      <c r="F25" s="90"/>
      <c r="G25" s="45">
        <f>1149747+379331</f>
        <v>1529078</v>
      </c>
      <c r="H25" s="45">
        <v>379331</v>
      </c>
    </row>
    <row r="26" spans="1:8" s="19" customFormat="1" ht="15">
      <c r="A26" s="22" t="s">
        <v>235</v>
      </c>
      <c r="B26" s="23" t="s">
        <v>214</v>
      </c>
      <c r="C26" s="89"/>
      <c r="D26" s="90">
        <v>642600</v>
      </c>
      <c r="E26" s="90">
        <v>642600</v>
      </c>
      <c r="F26" s="90"/>
      <c r="G26" s="45">
        <f>158575+53978</f>
        <v>212553</v>
      </c>
      <c r="H26" s="45">
        <v>53978</v>
      </c>
    </row>
    <row r="27" spans="1:8" s="19" customFormat="1" ht="15">
      <c r="A27" s="22" t="s">
        <v>237</v>
      </c>
      <c r="B27" s="23" t="s">
        <v>216</v>
      </c>
      <c r="C27" s="89"/>
      <c r="D27" s="90">
        <v>27080</v>
      </c>
      <c r="E27" s="90">
        <v>27080</v>
      </c>
      <c r="F27" s="90"/>
      <c r="G27" s="45">
        <f>6727+2412</f>
        <v>9139</v>
      </c>
      <c r="H27" s="45">
        <v>2412</v>
      </c>
    </row>
    <row r="28" spans="1:8" s="19" customFormat="1" ht="16.5" customHeight="1">
      <c r="A28" s="22" t="s">
        <v>239</v>
      </c>
      <c r="B28" s="24" t="s">
        <v>218</v>
      </c>
      <c r="C28" s="89"/>
      <c r="D28" s="90">
        <v>13000</v>
      </c>
      <c r="E28" s="90">
        <v>13000</v>
      </c>
      <c r="F28" s="90"/>
      <c r="G28" s="45">
        <f>3108+1036</f>
        <v>4144</v>
      </c>
      <c r="H28" s="45">
        <v>1036</v>
      </c>
    </row>
    <row r="29" spans="1:8" s="19" customFormat="1" ht="16.5" customHeight="1">
      <c r="A29" s="22" t="s">
        <v>241</v>
      </c>
      <c r="B29" s="24" t="s">
        <v>220</v>
      </c>
      <c r="C29" s="89"/>
      <c r="D29" s="90">
        <v>5000</v>
      </c>
      <c r="E29" s="90">
        <v>5000</v>
      </c>
      <c r="F29" s="90"/>
      <c r="G29" s="45">
        <v>790</v>
      </c>
      <c r="H29" s="45">
        <v>0</v>
      </c>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f>50711+17202</f>
        <v>67913</v>
      </c>
      <c r="H31" s="45">
        <v>17202</v>
      </c>
    </row>
    <row r="32" spans="1:8" ht="16.5" customHeight="1">
      <c r="A32" s="22" t="s">
        <v>246</v>
      </c>
      <c r="B32" s="24" t="s">
        <v>226</v>
      </c>
      <c r="C32" s="89"/>
      <c r="D32" s="90">
        <v>167160</v>
      </c>
      <c r="E32" s="90">
        <v>167160</v>
      </c>
      <c r="F32" s="90"/>
      <c r="G32" s="45">
        <f>39413+10634</f>
        <v>50047</v>
      </c>
      <c r="H32" s="45">
        <v>10634</v>
      </c>
    </row>
    <row r="33" spans="1:8" ht="16.5" customHeight="1">
      <c r="A33" s="22"/>
      <c r="B33" s="24" t="s">
        <v>228</v>
      </c>
      <c r="C33" s="89"/>
      <c r="D33" s="90"/>
      <c r="E33" s="90"/>
      <c r="F33" s="90"/>
      <c r="G33" s="45"/>
      <c r="H33" s="45"/>
    </row>
    <row r="34" spans="1:8" ht="16.5" customHeight="1">
      <c r="A34" s="22" t="s">
        <v>248</v>
      </c>
      <c r="B34" s="20" t="s">
        <v>230</v>
      </c>
      <c r="C34" s="89">
        <f aca="true" t="shared" si="17" ref="C34:H34">C35</f>
        <v>0</v>
      </c>
      <c r="D34" s="89">
        <f t="shared" si="17"/>
        <v>0</v>
      </c>
      <c r="E34" s="89">
        <f t="shared" si="17"/>
        <v>0</v>
      </c>
      <c r="F34" s="89">
        <f t="shared" si="17"/>
        <v>0</v>
      </c>
      <c r="G34" s="89">
        <f t="shared" si="17"/>
        <v>0</v>
      </c>
      <c r="H34" s="89">
        <f t="shared" si="17"/>
        <v>0</v>
      </c>
    </row>
    <row r="35" spans="1:8" ht="16.5" customHeight="1">
      <c r="A35" s="22" t="s">
        <v>250</v>
      </c>
      <c r="B35" s="24" t="s">
        <v>232</v>
      </c>
      <c r="C35" s="89"/>
      <c r="D35" s="90"/>
      <c r="E35" s="90"/>
      <c r="F35" s="90"/>
      <c r="G35" s="45"/>
      <c r="H35" s="45"/>
    </row>
    <row r="36" spans="1:8" ht="16.5" customHeight="1">
      <c r="A36" s="17" t="s">
        <v>252</v>
      </c>
      <c r="B36" s="20" t="s">
        <v>234</v>
      </c>
      <c r="C36" s="88">
        <f aca="true" t="shared" si="18" ref="C36:H36">+C37+C38+C39+C40+C41+C42+C43</f>
        <v>0</v>
      </c>
      <c r="D36" s="88">
        <f t="shared" si="18"/>
        <v>131470</v>
      </c>
      <c r="E36" s="88">
        <f t="shared" si="18"/>
        <v>131470</v>
      </c>
      <c r="F36" s="88">
        <f t="shared" si="18"/>
        <v>0</v>
      </c>
      <c r="G36" s="88">
        <f t="shared" si="18"/>
        <v>41997</v>
      </c>
      <c r="H36" s="88">
        <f t="shared" si="18"/>
        <v>10373</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131470</v>
      </c>
      <c r="E42" s="90">
        <v>131470</v>
      </c>
      <c r="F42" s="90"/>
      <c r="G42" s="45">
        <f>31624+10373</f>
        <v>41997</v>
      </c>
      <c r="H42" s="45">
        <v>10373</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280980350</v>
      </c>
      <c r="E44" s="88">
        <f t="shared" si="19"/>
        <v>290500120</v>
      </c>
      <c r="F44" s="88">
        <f t="shared" si="19"/>
        <v>0</v>
      </c>
      <c r="G44" s="88">
        <f t="shared" si="19"/>
        <v>209583782.56</v>
      </c>
      <c r="H44" s="88">
        <f t="shared" si="19"/>
        <v>48144542.51999999</v>
      </c>
    </row>
    <row r="45" spans="1:8" ht="16.5" customHeight="1">
      <c r="A45" s="17" t="s">
        <v>270</v>
      </c>
      <c r="B45" s="20" t="s">
        <v>249</v>
      </c>
      <c r="C45" s="88">
        <f aca="true" t="shared" si="20" ref="C45:H45">+C46+C47+C48+C49+C50+C51+C52+C53+C55</f>
        <v>0</v>
      </c>
      <c r="D45" s="88">
        <f t="shared" si="20"/>
        <v>280906350</v>
      </c>
      <c r="E45" s="88">
        <f t="shared" si="20"/>
        <v>290426120</v>
      </c>
      <c r="F45" s="88">
        <f t="shared" si="20"/>
        <v>0</v>
      </c>
      <c r="G45" s="88">
        <f t="shared" si="20"/>
        <v>209583782.56</v>
      </c>
      <c r="H45" s="88">
        <f t="shared" si="20"/>
        <v>48144542.51999999</v>
      </c>
    </row>
    <row r="46" spans="1:8" s="19" customFormat="1" ht="16.5" customHeight="1">
      <c r="A46" s="22" t="s">
        <v>272</v>
      </c>
      <c r="B46" s="24" t="s">
        <v>251</v>
      </c>
      <c r="C46" s="89"/>
      <c r="D46" s="90">
        <v>86000</v>
      </c>
      <c r="E46" s="90">
        <v>86000</v>
      </c>
      <c r="F46" s="90"/>
      <c r="G46" s="45">
        <f>14548.1+9934.01</f>
        <v>24482.11</v>
      </c>
      <c r="H46" s="45">
        <v>9934.01</v>
      </c>
    </row>
    <row r="47" spans="1:8" s="19" customFormat="1" ht="16.5" customHeight="1">
      <c r="A47" s="22" t="s">
        <v>274</v>
      </c>
      <c r="B47" s="24" t="s">
        <v>253</v>
      </c>
      <c r="C47" s="89"/>
      <c r="D47" s="90"/>
      <c r="E47" s="90"/>
      <c r="F47" s="90"/>
      <c r="G47" s="45"/>
      <c r="H47" s="45"/>
    </row>
    <row r="48" spans="1:8" ht="16.5" customHeight="1">
      <c r="A48" s="22" t="s">
        <v>276</v>
      </c>
      <c r="B48" s="24" t="s">
        <v>255</v>
      </c>
      <c r="C48" s="89"/>
      <c r="D48" s="90">
        <v>79000</v>
      </c>
      <c r="E48" s="90">
        <v>79000</v>
      </c>
      <c r="F48" s="90"/>
      <c r="G48" s="45">
        <f>31000+14861.91</f>
        <v>45861.91</v>
      </c>
      <c r="H48" s="45">
        <v>14861.91</v>
      </c>
    </row>
    <row r="49" spans="1:8" ht="16.5" customHeight="1">
      <c r="A49" s="22" t="s">
        <v>278</v>
      </c>
      <c r="B49" s="24" t="s">
        <v>257</v>
      </c>
      <c r="C49" s="89"/>
      <c r="D49" s="90">
        <v>13000</v>
      </c>
      <c r="E49" s="90">
        <v>13000</v>
      </c>
      <c r="F49" s="90"/>
      <c r="G49" s="45">
        <f>3600+1323.08</f>
        <v>4923.08</v>
      </c>
      <c r="H49" s="45">
        <v>1323.08</v>
      </c>
    </row>
    <row r="50" spans="1:8" ht="16.5" customHeight="1">
      <c r="A50" s="22" t="s">
        <v>280</v>
      </c>
      <c r="B50" s="24" t="s">
        <v>259</v>
      </c>
      <c r="C50" s="89"/>
      <c r="D50" s="90">
        <v>10000</v>
      </c>
      <c r="E50" s="90">
        <v>10000</v>
      </c>
      <c r="F50" s="90"/>
      <c r="G50" s="45">
        <v>1000</v>
      </c>
      <c r="H50" s="45">
        <v>0</v>
      </c>
    </row>
    <row r="51" spans="1:8" ht="16.5" customHeight="1">
      <c r="A51" s="22" t="s">
        <v>282</v>
      </c>
      <c r="B51" s="24" t="s">
        <v>261</v>
      </c>
      <c r="C51" s="89"/>
      <c r="D51" s="90">
        <v>7000</v>
      </c>
      <c r="E51" s="90">
        <v>7000</v>
      </c>
      <c r="F51" s="90"/>
      <c r="G51" s="45"/>
      <c r="H51" s="45"/>
    </row>
    <row r="52" spans="1:8" ht="16.5" customHeight="1">
      <c r="A52" s="22" t="s">
        <v>284</v>
      </c>
      <c r="B52" s="24" t="s">
        <v>263</v>
      </c>
      <c r="C52" s="89"/>
      <c r="D52" s="90">
        <v>57000</v>
      </c>
      <c r="E52" s="90">
        <v>57000</v>
      </c>
      <c r="F52" s="90"/>
      <c r="G52" s="45">
        <f>15574+9037.91</f>
        <v>24611.91</v>
      </c>
      <c r="H52" s="45">
        <v>9037.91</v>
      </c>
    </row>
    <row r="53" spans="1:8" ht="16.5" customHeight="1">
      <c r="A53" s="17" t="s">
        <v>286</v>
      </c>
      <c r="B53" s="20" t="s">
        <v>265</v>
      </c>
      <c r="C53" s="91">
        <f aca="true" t="shared" si="21" ref="C53:H53">+C54+C89</f>
        <v>0</v>
      </c>
      <c r="D53" s="91">
        <f t="shared" si="21"/>
        <v>280654350</v>
      </c>
      <c r="E53" s="91">
        <f t="shared" si="21"/>
        <v>290174120</v>
      </c>
      <c r="F53" s="91">
        <f t="shared" si="21"/>
        <v>0</v>
      </c>
      <c r="G53" s="91">
        <f t="shared" si="21"/>
        <v>209482903.55</v>
      </c>
      <c r="H53" s="91">
        <f t="shared" si="21"/>
        <v>48109385.60999999</v>
      </c>
    </row>
    <row r="54" spans="1:8" ht="16.5" customHeight="1">
      <c r="A54" s="27" t="s">
        <v>288</v>
      </c>
      <c r="B54" s="28" t="s">
        <v>267</v>
      </c>
      <c r="C54" s="92"/>
      <c r="D54" s="90">
        <v>408000</v>
      </c>
      <c r="E54" s="90">
        <v>408000</v>
      </c>
      <c r="F54" s="90"/>
      <c r="G54" s="45">
        <f>110629.12+29703.12</f>
        <v>140332.24</v>
      </c>
      <c r="H54" s="45">
        <v>29703.12</v>
      </c>
    </row>
    <row r="55" spans="1:8" s="19" customFormat="1" ht="16.5" customHeight="1">
      <c r="A55" s="22" t="s">
        <v>290</v>
      </c>
      <c r="B55" s="24" t="s">
        <v>269</v>
      </c>
      <c r="C55" s="89"/>
      <c r="D55" s="90"/>
      <c r="E55" s="90"/>
      <c r="F55" s="90"/>
      <c r="G55" s="45"/>
      <c r="H55" s="45"/>
    </row>
    <row r="56" spans="1:8" s="26" customFormat="1" ht="16.5" customHeight="1">
      <c r="A56" s="22"/>
      <c r="B56" s="24" t="s">
        <v>271</v>
      </c>
      <c r="C56" s="89"/>
      <c r="D56" s="90"/>
      <c r="E56" s="90"/>
      <c r="F56" s="90"/>
      <c r="G56" s="45"/>
      <c r="H56" s="45"/>
    </row>
    <row r="57" spans="1:8" ht="16.5" customHeight="1">
      <c r="A57" s="22"/>
      <c r="B57" s="24" t="s">
        <v>273</v>
      </c>
      <c r="C57" s="89"/>
      <c r="D57" s="90"/>
      <c r="E57" s="90"/>
      <c r="F57" s="90"/>
      <c r="G57" s="45"/>
      <c r="H57" s="45"/>
    </row>
    <row r="58" spans="1:8" s="19" customFormat="1" ht="16.5" customHeight="1">
      <c r="A58" s="17" t="s">
        <v>294</v>
      </c>
      <c r="B58" s="24" t="s">
        <v>275</v>
      </c>
      <c r="C58" s="89"/>
      <c r="D58" s="90">
        <v>70000</v>
      </c>
      <c r="E58" s="90">
        <v>70000</v>
      </c>
      <c r="F58" s="90"/>
      <c r="G58" s="45"/>
      <c r="H58" s="45"/>
    </row>
    <row r="59" spans="1:8" s="19" customFormat="1" ht="16.5" customHeight="1">
      <c r="A59" s="17" t="s">
        <v>296</v>
      </c>
      <c r="B59" s="20" t="s">
        <v>277</v>
      </c>
      <c r="C59" s="93">
        <f aca="true" t="shared" si="22" ref="C59:H59">+C60</f>
        <v>0</v>
      </c>
      <c r="D59" s="93">
        <f t="shared" si="22"/>
        <v>0</v>
      </c>
      <c r="E59" s="93">
        <f t="shared" si="22"/>
        <v>0</v>
      </c>
      <c r="F59" s="93">
        <f t="shared" si="22"/>
        <v>0</v>
      </c>
      <c r="G59" s="93">
        <f t="shared" si="22"/>
        <v>0</v>
      </c>
      <c r="H59" s="93">
        <f t="shared" si="22"/>
        <v>0</v>
      </c>
    </row>
    <row r="60" spans="1:8" s="19" customFormat="1" ht="16.5" customHeight="1">
      <c r="A60" s="22" t="s">
        <v>298</v>
      </c>
      <c r="B60" s="24" t="s">
        <v>279</v>
      </c>
      <c r="C60" s="89"/>
      <c r="D60" s="90"/>
      <c r="E60" s="90"/>
      <c r="F60" s="90"/>
      <c r="G60" s="45"/>
      <c r="H60" s="45"/>
    </row>
    <row r="61" spans="1:8" s="19" customFormat="1" ht="16.5" customHeight="1">
      <c r="A61" s="17" t="s">
        <v>300</v>
      </c>
      <c r="B61" s="20" t="s">
        <v>281</v>
      </c>
      <c r="C61" s="88">
        <f aca="true" t="shared" si="23" ref="C61:H61">+C62+C63</f>
        <v>0</v>
      </c>
      <c r="D61" s="88">
        <f t="shared" si="23"/>
        <v>1000</v>
      </c>
      <c r="E61" s="88">
        <f t="shared" si="23"/>
        <v>1000</v>
      </c>
      <c r="F61" s="88">
        <f t="shared" si="23"/>
        <v>0</v>
      </c>
      <c r="G61" s="88">
        <f t="shared" si="23"/>
        <v>0</v>
      </c>
      <c r="H61" s="88">
        <f t="shared" si="2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1000</v>
      </c>
      <c r="E64" s="90">
        <v>1000</v>
      </c>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2000</v>
      </c>
      <c r="E69" s="93">
        <f t="shared" si="24"/>
        <v>2000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2000</v>
      </c>
      <c r="E71" s="90">
        <v>2000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5520</v>
      </c>
      <c r="E75" s="89">
        <f t="shared" si="26"/>
        <v>5520</v>
      </c>
      <c r="F75" s="89">
        <f t="shared" si="26"/>
        <v>0</v>
      </c>
      <c r="G75" s="89">
        <f t="shared" si="26"/>
        <v>1232</v>
      </c>
      <c r="H75" s="89">
        <f t="shared" si="26"/>
        <v>184</v>
      </c>
    </row>
    <row r="76" spans="1:8" s="19" customFormat="1" ht="16.5" customHeight="1">
      <c r="A76" s="29" t="s">
        <v>325</v>
      </c>
      <c r="B76" s="31" t="s">
        <v>307</v>
      </c>
      <c r="C76" s="89"/>
      <c r="D76" s="90"/>
      <c r="E76" s="90"/>
      <c r="F76" s="90"/>
      <c r="G76" s="45"/>
      <c r="H76" s="45"/>
    </row>
    <row r="77" spans="1:8" ht="16.5" customHeight="1">
      <c r="A77" s="29" t="s">
        <v>327</v>
      </c>
      <c r="B77" s="31" t="s">
        <v>309</v>
      </c>
      <c r="C77" s="89"/>
      <c r="D77" s="90">
        <v>5520</v>
      </c>
      <c r="E77" s="90">
        <v>5520</v>
      </c>
      <c r="F77" s="90"/>
      <c r="G77" s="45">
        <f>1048+184</f>
        <v>1232</v>
      </c>
      <c r="H77" s="45">
        <v>184</v>
      </c>
    </row>
    <row r="78" spans="1:8" s="19" customFormat="1" ht="16.5" customHeight="1">
      <c r="A78" s="17" t="s">
        <v>329</v>
      </c>
      <c r="B78" s="20" t="s">
        <v>198</v>
      </c>
      <c r="C78" s="88">
        <f aca="true" t="shared" si="27" ref="C78:H78">+C79</f>
        <v>0</v>
      </c>
      <c r="D78" s="88">
        <f t="shared" si="27"/>
        <v>47000</v>
      </c>
      <c r="E78" s="88">
        <f t="shared" si="27"/>
        <v>47000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47000</v>
      </c>
      <c r="E79" s="88">
        <f t="shared" si="28"/>
        <v>47000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47000</v>
      </c>
      <c r="E80" s="88">
        <f t="shared" si="29"/>
        <v>47000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47000</v>
      </c>
      <c r="E82" s="90">
        <v>47000</v>
      </c>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+C44-C89+C23+C78+C184+C75</f>
        <v>0</v>
      </c>
      <c r="D87" s="87">
        <f t="shared" si="30"/>
        <v>252462690</v>
      </c>
      <c r="E87" s="87">
        <f t="shared" si="30"/>
        <v>252462690</v>
      </c>
      <c r="F87" s="87">
        <f t="shared" si="30"/>
        <v>7501000</v>
      </c>
      <c r="G87" s="87">
        <f t="shared" si="30"/>
        <v>112079821.25</v>
      </c>
      <c r="H87" s="87">
        <f t="shared" si="30"/>
        <v>28800373.029999994</v>
      </c>
    </row>
    <row r="88" spans="1:8" ht="16.5" customHeight="1">
      <c r="A88" s="22"/>
      <c r="B88" s="24" t="s">
        <v>328</v>
      </c>
      <c r="C88" s="87"/>
      <c r="D88" s="90"/>
      <c r="E88" s="90"/>
      <c r="F88" s="90"/>
      <c r="G88" s="90">
        <v>-7695</v>
      </c>
      <c r="H88" s="90"/>
    </row>
    <row r="89" spans="1:8" ht="16.5" customHeight="1">
      <c r="A89" s="22" t="s">
        <v>347</v>
      </c>
      <c r="B89" s="20" t="s">
        <v>330</v>
      </c>
      <c r="C89" s="95">
        <f aca="true" t="shared" si="31" ref="C89:H89">+C90+C136+C165+C167+C179+C181</f>
        <v>0</v>
      </c>
      <c r="D89" s="95">
        <f t="shared" si="31"/>
        <v>280246350</v>
      </c>
      <c r="E89" s="95">
        <f t="shared" si="31"/>
        <v>289766120</v>
      </c>
      <c r="F89" s="95">
        <f t="shared" si="31"/>
        <v>0</v>
      </c>
      <c r="G89" s="95">
        <f t="shared" si="31"/>
        <v>209342571.31</v>
      </c>
      <c r="H89" s="95">
        <f t="shared" si="31"/>
        <v>48079682.489999995</v>
      </c>
    </row>
    <row r="90" spans="1:8" s="26" customFormat="1" ht="16.5" customHeight="1">
      <c r="A90" s="17" t="s">
        <v>349</v>
      </c>
      <c r="B90" s="20" t="s">
        <v>332</v>
      </c>
      <c r="C90" s="88">
        <f aca="true" t="shared" si="32" ref="C90:H90">+C91+C101+C116+C132+C134</f>
        <v>0</v>
      </c>
      <c r="D90" s="88">
        <f t="shared" si="32"/>
        <v>97555460</v>
      </c>
      <c r="E90" s="88">
        <f t="shared" si="32"/>
        <v>107683830</v>
      </c>
      <c r="F90" s="88">
        <f t="shared" si="32"/>
        <v>0</v>
      </c>
      <c r="G90" s="88">
        <f t="shared" si="32"/>
        <v>81471542.37</v>
      </c>
      <c r="H90" s="88">
        <f t="shared" si="32"/>
        <v>16283275.54</v>
      </c>
    </row>
    <row r="91" spans="1:8" s="26" customFormat="1" ht="16.5" customHeight="1">
      <c r="A91" s="22" t="s">
        <v>351</v>
      </c>
      <c r="B91" s="20" t="s">
        <v>334</v>
      </c>
      <c r="C91" s="87">
        <f aca="true" t="shared" si="33" ref="C91:H91">+C92+C98+C99+C93+C94</f>
        <v>0</v>
      </c>
      <c r="D91" s="87">
        <f t="shared" si="33"/>
        <v>47679910</v>
      </c>
      <c r="E91" s="87">
        <f t="shared" si="33"/>
        <v>53430830</v>
      </c>
      <c r="F91" s="87">
        <f t="shared" si="33"/>
        <v>0</v>
      </c>
      <c r="G91" s="87">
        <f t="shared" si="33"/>
        <v>38109175.339999996</v>
      </c>
      <c r="H91" s="87">
        <f t="shared" si="33"/>
        <v>7753877.31</v>
      </c>
    </row>
    <row r="92" spans="1:8" s="26" customFormat="1" ht="16.5" customHeight="1">
      <c r="A92" s="22"/>
      <c r="B92" s="23" t="s">
        <v>336</v>
      </c>
      <c r="C92" s="89"/>
      <c r="D92" s="90">
        <v>45281000</v>
      </c>
      <c r="E92" s="90">
        <v>51050000</v>
      </c>
      <c r="F92" s="90"/>
      <c r="G92" s="45">
        <f>29199290+7405460</f>
        <v>36604750</v>
      </c>
      <c r="H92" s="45">
        <v>7405460</v>
      </c>
    </row>
    <row r="93" spans="1:8" s="26" customFormat="1" ht="16.5" customHeight="1">
      <c r="A93" s="22"/>
      <c r="B93" s="23" t="s">
        <v>338</v>
      </c>
      <c r="C93" s="89"/>
      <c r="D93" s="90"/>
      <c r="E93" s="90"/>
      <c r="F93" s="90"/>
      <c r="G93" s="45"/>
      <c r="H93" s="45"/>
    </row>
    <row r="94" spans="1:8" s="26" customFormat="1" ht="16.5" customHeight="1">
      <c r="A94" s="22"/>
      <c r="B94" s="100" t="s">
        <v>479</v>
      </c>
      <c r="C94" s="89">
        <f aca="true" t="shared" si="34" ref="C94:H94">C95+C96+C97</f>
        <v>0</v>
      </c>
      <c r="D94" s="89">
        <f t="shared" si="34"/>
        <v>1224200</v>
      </c>
      <c r="E94" s="89">
        <f t="shared" si="34"/>
        <v>1273120</v>
      </c>
      <c r="F94" s="89">
        <f t="shared" si="34"/>
        <v>0</v>
      </c>
      <c r="G94" s="89">
        <f t="shared" si="34"/>
        <v>801603.93</v>
      </c>
      <c r="H94" s="89">
        <f t="shared" si="34"/>
        <v>191244.50999999998</v>
      </c>
    </row>
    <row r="95" spans="1:8" s="26" customFormat="1" ht="30">
      <c r="A95" s="22"/>
      <c r="B95" s="23" t="s">
        <v>480</v>
      </c>
      <c r="C95" s="89"/>
      <c r="D95" s="90">
        <v>1186450</v>
      </c>
      <c r="E95" s="90">
        <v>1241120</v>
      </c>
      <c r="F95" s="90"/>
      <c r="G95" s="45">
        <f>599340+185452.55</f>
        <v>784792.55</v>
      </c>
      <c r="H95" s="45">
        <v>185452.55</v>
      </c>
    </row>
    <row r="96" spans="1:8" s="26" customFormat="1" ht="60">
      <c r="A96" s="22"/>
      <c r="B96" s="23" t="s">
        <v>481</v>
      </c>
      <c r="C96" s="89"/>
      <c r="D96" s="90">
        <v>20900</v>
      </c>
      <c r="E96" s="90">
        <v>19000</v>
      </c>
      <c r="F96" s="90"/>
      <c r="G96" s="45">
        <f>6115.36+3217.78</f>
        <v>9333.14</v>
      </c>
      <c r="H96" s="45">
        <v>3217.78</v>
      </c>
    </row>
    <row r="97" spans="1:8" s="26" customFormat="1" ht="45">
      <c r="A97" s="22"/>
      <c r="B97" s="23" t="s">
        <v>482</v>
      </c>
      <c r="C97" s="89"/>
      <c r="D97" s="90">
        <v>16850</v>
      </c>
      <c r="E97" s="90">
        <v>13000</v>
      </c>
      <c r="F97" s="90"/>
      <c r="G97" s="45">
        <f>4904.06+2574.18</f>
        <v>7478.24</v>
      </c>
      <c r="H97" s="45">
        <v>2574.18</v>
      </c>
    </row>
    <row r="98" spans="1:8" s="26" customFormat="1" ht="16.5" customHeight="1">
      <c r="A98" s="22"/>
      <c r="B98" s="23" t="s">
        <v>341</v>
      </c>
      <c r="C98" s="89"/>
      <c r="D98" s="90">
        <v>97710</v>
      </c>
      <c r="E98" s="90">
        <v>97710</v>
      </c>
      <c r="F98" s="90"/>
      <c r="G98" s="45">
        <v>42710</v>
      </c>
      <c r="H98" s="45">
        <v>0</v>
      </c>
    </row>
    <row r="99" spans="1:8" s="26" customFormat="1" ht="45">
      <c r="A99" s="22"/>
      <c r="B99" s="23" t="s">
        <v>343</v>
      </c>
      <c r="C99" s="89"/>
      <c r="D99" s="90">
        <v>1077000</v>
      </c>
      <c r="E99" s="90">
        <v>1010000</v>
      </c>
      <c r="F99" s="90"/>
      <c r="G99" s="45">
        <f>502938.61+157172.8</f>
        <v>660111.4099999999</v>
      </c>
      <c r="H99" s="45">
        <v>157172.8</v>
      </c>
    </row>
    <row r="100" spans="1:8" ht="15">
      <c r="A100" s="22"/>
      <c r="B100" s="24" t="s">
        <v>328</v>
      </c>
      <c r="C100" s="89"/>
      <c r="D100" s="90"/>
      <c r="E100" s="90"/>
      <c r="F100" s="90"/>
      <c r="G100" s="45">
        <f>-828.6-20.63</f>
        <v>-849.23</v>
      </c>
      <c r="H100" s="45"/>
    </row>
    <row r="101" spans="1:8" ht="30">
      <c r="A101" s="22" t="s">
        <v>359</v>
      </c>
      <c r="B101" s="20" t="s">
        <v>345</v>
      </c>
      <c r="C101" s="89">
        <f aca="true" t="shared" si="35" ref="C101:H101">C102+C103+C104+C105+C106+C107+C109+C108+C110</f>
        <v>0</v>
      </c>
      <c r="D101" s="89">
        <f t="shared" si="35"/>
        <v>35556040</v>
      </c>
      <c r="E101" s="89">
        <f t="shared" si="35"/>
        <v>39984000</v>
      </c>
      <c r="F101" s="89">
        <f t="shared" si="35"/>
        <v>0</v>
      </c>
      <c r="G101" s="89">
        <f t="shared" si="35"/>
        <v>33237935.41</v>
      </c>
      <c r="H101" s="89">
        <f t="shared" si="35"/>
        <v>5984170.55</v>
      </c>
    </row>
    <row r="102" spans="1:8" ht="16.5" customHeight="1">
      <c r="A102" s="22"/>
      <c r="B102" s="23" t="s">
        <v>346</v>
      </c>
      <c r="C102" s="89"/>
      <c r="D102" s="90">
        <v>474830</v>
      </c>
      <c r="E102" s="90">
        <v>426000</v>
      </c>
      <c r="F102" s="90"/>
      <c r="G102" s="45">
        <f>274852.1+84286.09</f>
        <v>359138.18999999994</v>
      </c>
      <c r="H102" s="45">
        <v>84286.09</v>
      </c>
    </row>
    <row r="103" spans="1:8" ht="15">
      <c r="A103" s="22"/>
      <c r="B103" s="23" t="s">
        <v>348</v>
      </c>
      <c r="C103" s="89"/>
      <c r="D103" s="90"/>
      <c r="E103" s="90"/>
      <c r="F103" s="90"/>
      <c r="G103" s="45"/>
      <c r="H103" s="45"/>
    </row>
    <row r="104" spans="1:8" s="19" customFormat="1" ht="16.5" customHeight="1">
      <c r="A104" s="22"/>
      <c r="B104" s="23" t="s">
        <v>350</v>
      </c>
      <c r="C104" s="89"/>
      <c r="D104" s="90">
        <v>45000</v>
      </c>
      <c r="E104" s="90">
        <v>22000</v>
      </c>
      <c r="F104" s="90"/>
      <c r="G104" s="45">
        <v>15720</v>
      </c>
      <c r="H104" s="45">
        <v>0</v>
      </c>
    </row>
    <row r="105" spans="1:8" ht="16.5" customHeight="1">
      <c r="A105" s="22"/>
      <c r="B105" s="23" t="s">
        <v>352</v>
      </c>
      <c r="C105" s="89"/>
      <c r="D105" s="90">
        <v>17593910</v>
      </c>
      <c r="E105" s="90">
        <v>18146000</v>
      </c>
      <c r="F105" s="90"/>
      <c r="G105" s="45">
        <f>11423840+3257577.66</f>
        <v>14681417.66</v>
      </c>
      <c r="H105" s="45">
        <v>3257577.66</v>
      </c>
    </row>
    <row r="106" spans="1:8" ht="15">
      <c r="A106" s="22"/>
      <c r="B106" s="34" t="s">
        <v>353</v>
      </c>
      <c r="C106" s="89"/>
      <c r="D106" s="90">
        <v>12000</v>
      </c>
      <c r="E106" s="90">
        <v>20000</v>
      </c>
      <c r="F106" s="90"/>
      <c r="G106" s="45">
        <v>14157.79</v>
      </c>
      <c r="H106" s="45">
        <v>0</v>
      </c>
    </row>
    <row r="107" spans="1:8" ht="30">
      <c r="A107" s="22"/>
      <c r="B107" s="23" t="s">
        <v>354</v>
      </c>
      <c r="C107" s="89"/>
      <c r="D107" s="90">
        <v>305320</v>
      </c>
      <c r="E107" s="90">
        <v>308000</v>
      </c>
      <c r="F107" s="90"/>
      <c r="G107" s="45">
        <f>188699+57259.22</f>
        <v>245958.22</v>
      </c>
      <c r="H107" s="45">
        <v>57259.22</v>
      </c>
    </row>
    <row r="108" spans="1:8" ht="16.5" customHeight="1">
      <c r="A108" s="22"/>
      <c r="B108" s="35" t="s">
        <v>355</v>
      </c>
      <c r="C108" s="89"/>
      <c r="D108" s="90"/>
      <c r="E108" s="90"/>
      <c r="F108" s="90"/>
      <c r="G108" s="45"/>
      <c r="H108" s="45"/>
    </row>
    <row r="109" spans="1:8" ht="15">
      <c r="A109" s="22"/>
      <c r="B109" s="35" t="s">
        <v>356</v>
      </c>
      <c r="C109" s="89"/>
      <c r="D109" s="90">
        <v>10388450</v>
      </c>
      <c r="E109" s="90">
        <v>12651000</v>
      </c>
      <c r="F109" s="90"/>
      <c r="G109" s="96">
        <f>9361533.65+1698557.87</f>
        <v>11060091.52</v>
      </c>
      <c r="H109" s="96">
        <v>1698557.87</v>
      </c>
    </row>
    <row r="110" spans="1:8" ht="30">
      <c r="A110" s="22"/>
      <c r="B110" s="36" t="s">
        <v>357</v>
      </c>
      <c r="C110" s="89">
        <f aca="true" t="shared" si="36" ref="C110:H110">C111+C112+C114+C113</f>
        <v>0</v>
      </c>
      <c r="D110" s="89">
        <f t="shared" si="36"/>
        <v>6736530</v>
      </c>
      <c r="E110" s="89">
        <f t="shared" si="36"/>
        <v>8411000</v>
      </c>
      <c r="F110" s="89">
        <f t="shared" si="36"/>
        <v>0</v>
      </c>
      <c r="G110" s="89">
        <f t="shared" si="36"/>
        <v>6861452.03</v>
      </c>
      <c r="H110" s="89">
        <f t="shared" si="36"/>
        <v>886489.71</v>
      </c>
    </row>
    <row r="111" spans="1:8" ht="16.5" customHeight="1">
      <c r="A111" s="22"/>
      <c r="B111" s="35" t="s">
        <v>358</v>
      </c>
      <c r="C111" s="89"/>
      <c r="D111" s="90">
        <v>6736530</v>
      </c>
      <c r="E111" s="90">
        <v>8411000</v>
      </c>
      <c r="F111" s="90"/>
      <c r="G111" s="45">
        <f>5974962.32+886489.71</f>
        <v>6861452.03</v>
      </c>
      <c r="H111" s="45">
        <v>886489.71</v>
      </c>
    </row>
    <row r="112" spans="1:8" ht="15">
      <c r="A112" s="22"/>
      <c r="B112" s="35" t="s">
        <v>494</v>
      </c>
      <c r="C112" s="89"/>
      <c r="D112" s="90"/>
      <c r="E112" s="90"/>
      <c r="F112" s="90"/>
      <c r="G112" s="45"/>
      <c r="H112" s="45"/>
    </row>
    <row r="113" spans="1:8" ht="30">
      <c r="A113" s="22"/>
      <c r="B113" s="35" t="s">
        <v>495</v>
      </c>
      <c r="C113" s="89"/>
      <c r="D113" s="90"/>
      <c r="E113" s="90"/>
      <c r="F113" s="90"/>
      <c r="G113" s="45"/>
      <c r="H113" s="45"/>
    </row>
    <row r="114" spans="1:8" ht="15">
      <c r="A114" s="22"/>
      <c r="B114" s="35" t="s">
        <v>360</v>
      </c>
      <c r="C114" s="89"/>
      <c r="D114" s="90"/>
      <c r="E114" s="90"/>
      <c r="F114" s="90"/>
      <c r="G114" s="45"/>
      <c r="H114" s="45"/>
    </row>
    <row r="115" spans="1:8" ht="15">
      <c r="A115" s="22"/>
      <c r="B115" s="24" t="s">
        <v>328</v>
      </c>
      <c r="C115" s="89"/>
      <c r="D115" s="90"/>
      <c r="E115" s="90"/>
      <c r="F115" s="90"/>
      <c r="G115" s="45">
        <v>-26335.72</v>
      </c>
      <c r="H115" s="45"/>
    </row>
    <row r="116" spans="1:8" ht="36" customHeight="1">
      <c r="A116" s="17" t="s">
        <v>370</v>
      </c>
      <c r="B116" s="20" t="s">
        <v>361</v>
      </c>
      <c r="C116" s="89">
        <f aca="true" t="shared" si="37" ref="C116:H116">C117+C118+C119+C120+C121+C122+C123+C124+C125+C126</f>
        <v>0</v>
      </c>
      <c r="D116" s="89">
        <f t="shared" si="37"/>
        <v>1499510</v>
      </c>
      <c r="E116" s="89">
        <f t="shared" si="37"/>
        <v>1658000</v>
      </c>
      <c r="F116" s="89">
        <f t="shared" si="37"/>
        <v>0</v>
      </c>
      <c r="G116" s="89">
        <f t="shared" si="37"/>
        <v>1356431.62</v>
      </c>
      <c r="H116" s="89">
        <f t="shared" si="37"/>
        <v>320021.68</v>
      </c>
    </row>
    <row r="117" spans="1:8" ht="15">
      <c r="A117" s="22"/>
      <c r="B117" s="23" t="s">
        <v>352</v>
      </c>
      <c r="C117" s="89"/>
      <c r="D117" s="90">
        <v>1003510</v>
      </c>
      <c r="E117" s="90">
        <v>1033000</v>
      </c>
      <c r="F117" s="90"/>
      <c r="G117" s="45">
        <f>641366.59+189900</f>
        <v>831266.59</v>
      </c>
      <c r="H117" s="45">
        <v>189900</v>
      </c>
    </row>
    <row r="118" spans="1:8" ht="30">
      <c r="A118" s="22"/>
      <c r="B118" s="37" t="s">
        <v>362</v>
      </c>
      <c r="C118" s="89"/>
      <c r="D118" s="90">
        <f>44000+59000</f>
        <v>103000</v>
      </c>
      <c r="E118" s="90">
        <v>23000</v>
      </c>
      <c r="F118" s="90"/>
      <c r="G118" s="45">
        <f>7181.29+11626.3+1998.72</f>
        <v>20806.31</v>
      </c>
      <c r="H118" s="45">
        <v>1998.72</v>
      </c>
    </row>
    <row r="119" spans="1:8" ht="16.5" customHeight="1">
      <c r="A119" s="22"/>
      <c r="B119" s="38" t="s">
        <v>363</v>
      </c>
      <c r="C119" s="89"/>
      <c r="D119" s="90">
        <v>393000</v>
      </c>
      <c r="E119" s="90">
        <v>602000</v>
      </c>
      <c r="F119" s="90"/>
      <c r="G119" s="45">
        <f>376235.76+128122.96</f>
        <v>504358.72000000003</v>
      </c>
      <c r="H119" s="45">
        <v>128122.96</v>
      </c>
    </row>
    <row r="120" spans="1:8" ht="20.25" customHeight="1">
      <c r="A120" s="22"/>
      <c r="B120" s="38" t="s">
        <v>364</v>
      </c>
      <c r="C120" s="89"/>
      <c r="D120" s="90"/>
      <c r="E120" s="90"/>
      <c r="F120" s="90"/>
      <c r="G120" s="45"/>
      <c r="H120" s="45"/>
    </row>
    <row r="121" spans="1:8" ht="16.5" customHeight="1">
      <c r="A121" s="22"/>
      <c r="B121" s="38" t="s">
        <v>365</v>
      </c>
      <c r="C121" s="89"/>
      <c r="D121" s="90"/>
      <c r="E121" s="90"/>
      <c r="F121" s="90"/>
      <c r="G121" s="45"/>
      <c r="H121" s="45"/>
    </row>
    <row r="122" spans="1:8" ht="16.5" customHeight="1">
      <c r="A122" s="22"/>
      <c r="B122" s="23" t="s">
        <v>346</v>
      </c>
      <c r="C122" s="89"/>
      <c r="D122" s="90"/>
      <c r="E122" s="90"/>
      <c r="F122" s="90"/>
      <c r="G122" s="45"/>
      <c r="H122" s="45"/>
    </row>
    <row r="123" spans="1:8" ht="16.5" customHeight="1">
      <c r="A123" s="22"/>
      <c r="B123" s="38" t="s">
        <v>366</v>
      </c>
      <c r="C123" s="89"/>
      <c r="D123" s="90"/>
      <c r="E123" s="90"/>
      <c r="F123" s="90"/>
      <c r="G123" s="97"/>
      <c r="H123" s="97"/>
    </row>
    <row r="124" spans="1:8" ht="15">
      <c r="A124" s="22"/>
      <c r="B124" s="39" t="s">
        <v>367</v>
      </c>
      <c r="C124" s="89"/>
      <c r="D124" s="90"/>
      <c r="E124" s="90"/>
      <c r="F124" s="90"/>
      <c r="G124" s="97"/>
      <c r="H124" s="97"/>
    </row>
    <row r="125" spans="1:8" s="19" customFormat="1" ht="30">
      <c r="A125" s="22"/>
      <c r="B125" s="39" t="s">
        <v>368</v>
      </c>
      <c r="C125" s="89"/>
      <c r="D125" s="90"/>
      <c r="E125" s="90"/>
      <c r="F125" s="90"/>
      <c r="G125" s="97"/>
      <c r="H125" s="97"/>
    </row>
    <row r="126" spans="1:8" s="19" customFormat="1" ht="30">
      <c r="A126" s="22"/>
      <c r="B126" s="40" t="s">
        <v>369</v>
      </c>
      <c r="C126" s="89">
        <f aca="true" t="shared" si="38" ref="C126:H126">C127+C128+C129+C130</f>
        <v>0</v>
      </c>
      <c r="D126" s="89">
        <f t="shared" si="38"/>
        <v>0</v>
      </c>
      <c r="E126" s="89">
        <f t="shared" si="38"/>
        <v>0</v>
      </c>
      <c r="F126" s="89">
        <f t="shared" si="38"/>
        <v>0</v>
      </c>
      <c r="G126" s="89">
        <f t="shared" si="38"/>
        <v>0</v>
      </c>
      <c r="H126" s="89">
        <f t="shared" si="38"/>
        <v>0</v>
      </c>
    </row>
    <row r="127" spans="1:8" s="19" customFormat="1" ht="15">
      <c r="A127" s="22"/>
      <c r="B127" s="41" t="s">
        <v>371</v>
      </c>
      <c r="C127" s="89"/>
      <c r="D127" s="90"/>
      <c r="E127" s="90"/>
      <c r="F127" s="90"/>
      <c r="G127" s="97"/>
      <c r="H127" s="97"/>
    </row>
    <row r="128" spans="1:8" s="19" customFormat="1" ht="30">
      <c r="A128" s="22"/>
      <c r="B128" s="41" t="s">
        <v>372</v>
      </c>
      <c r="C128" s="89"/>
      <c r="D128" s="90"/>
      <c r="E128" s="90"/>
      <c r="F128" s="90"/>
      <c r="G128" s="97"/>
      <c r="H128" s="97"/>
    </row>
    <row r="129" spans="1:8" s="19" customFormat="1" ht="30">
      <c r="A129" s="22"/>
      <c r="B129" s="41" t="s">
        <v>373</v>
      </c>
      <c r="C129" s="89"/>
      <c r="D129" s="90"/>
      <c r="E129" s="90"/>
      <c r="F129" s="90"/>
      <c r="G129" s="97"/>
      <c r="H129" s="97"/>
    </row>
    <row r="130" spans="1:8" s="19" customFormat="1" ht="30">
      <c r="A130" s="22"/>
      <c r="B130" s="41" t="s">
        <v>374</v>
      </c>
      <c r="C130" s="89"/>
      <c r="D130" s="90"/>
      <c r="E130" s="90"/>
      <c r="F130" s="90"/>
      <c r="G130" s="97"/>
      <c r="H130" s="97"/>
    </row>
    <row r="131" spans="1:8" s="19" customFormat="1" ht="15">
      <c r="A131" s="22"/>
      <c r="B131" s="24" t="s">
        <v>328</v>
      </c>
      <c r="C131" s="89"/>
      <c r="D131" s="90"/>
      <c r="E131" s="90"/>
      <c r="F131" s="90"/>
      <c r="G131" s="97"/>
      <c r="H131" s="97"/>
    </row>
    <row r="132" spans="1:8" s="19" customFormat="1" ht="15">
      <c r="A132" s="22" t="s">
        <v>383</v>
      </c>
      <c r="B132" s="24" t="s">
        <v>375</v>
      </c>
      <c r="C132" s="87"/>
      <c r="D132" s="90">
        <v>10585000</v>
      </c>
      <c r="E132" s="90">
        <v>10585000</v>
      </c>
      <c r="F132" s="90"/>
      <c r="G132" s="45">
        <f>5633794+1925206</f>
        <v>7559000</v>
      </c>
      <c r="H132" s="45">
        <v>1925206</v>
      </c>
    </row>
    <row r="133" spans="1:8" s="19" customFormat="1" ht="16.5" customHeight="1">
      <c r="A133" s="22"/>
      <c r="B133" s="24" t="s">
        <v>328</v>
      </c>
      <c r="C133" s="87"/>
      <c r="D133" s="90"/>
      <c r="E133" s="90"/>
      <c r="F133" s="90"/>
      <c r="G133" s="45"/>
      <c r="H133" s="45"/>
    </row>
    <row r="134" spans="1:8" s="19" customFormat="1" ht="16.5" customHeight="1">
      <c r="A134" s="22" t="s">
        <v>384</v>
      </c>
      <c r="B134" s="24" t="s">
        <v>376</v>
      </c>
      <c r="C134" s="89"/>
      <c r="D134" s="90">
        <v>2235000</v>
      </c>
      <c r="E134" s="90">
        <v>2026000</v>
      </c>
      <c r="F134" s="90"/>
      <c r="G134" s="94">
        <f>909000+300000</f>
        <v>1209000</v>
      </c>
      <c r="H134" s="94">
        <v>300000</v>
      </c>
    </row>
    <row r="135" spans="1:8" s="19" customFormat="1" ht="16.5" customHeight="1">
      <c r="A135" s="22"/>
      <c r="B135" s="24" t="s">
        <v>328</v>
      </c>
      <c r="C135" s="89"/>
      <c r="D135" s="90"/>
      <c r="E135" s="90"/>
      <c r="F135" s="90"/>
      <c r="G135" s="94"/>
      <c r="H135" s="94"/>
    </row>
    <row r="136" spans="1:8" ht="16.5" customHeight="1">
      <c r="A136" s="17" t="s">
        <v>386</v>
      </c>
      <c r="B136" s="20" t="s">
        <v>377</v>
      </c>
      <c r="C136" s="88">
        <f aca="true" t="shared" si="39" ref="C136:H136">+C137+C145+C149+C153+C160</f>
        <v>0</v>
      </c>
      <c r="D136" s="88">
        <f t="shared" si="39"/>
        <v>46693930</v>
      </c>
      <c r="E136" s="88">
        <f t="shared" si="39"/>
        <v>46656330</v>
      </c>
      <c r="F136" s="88">
        <f t="shared" si="39"/>
        <v>0</v>
      </c>
      <c r="G136" s="88">
        <f t="shared" si="39"/>
        <v>31196347.56</v>
      </c>
      <c r="H136" s="88">
        <f t="shared" si="39"/>
        <v>7953742.56</v>
      </c>
    </row>
    <row r="137" spans="1:8" ht="16.5" customHeight="1">
      <c r="A137" s="17" t="s">
        <v>388</v>
      </c>
      <c r="B137" s="20" t="s">
        <v>378</v>
      </c>
      <c r="C137" s="87">
        <f aca="true" t="shared" si="40" ref="C137:H137">+C138+C141+C142+C143</f>
        <v>0</v>
      </c>
      <c r="D137" s="87">
        <f t="shared" si="40"/>
        <v>29079330</v>
      </c>
      <c r="E137" s="87">
        <f t="shared" si="40"/>
        <v>28524330</v>
      </c>
      <c r="F137" s="87">
        <f t="shared" si="40"/>
        <v>0</v>
      </c>
      <c r="G137" s="87">
        <f t="shared" si="40"/>
        <v>18855306.56</v>
      </c>
      <c r="H137" s="87">
        <f t="shared" si="40"/>
        <v>4593351.56</v>
      </c>
    </row>
    <row r="138" spans="1:8" s="19" customFormat="1" ht="16.5" customHeight="1">
      <c r="A138" s="22"/>
      <c r="B138" s="42" t="s">
        <v>379</v>
      </c>
      <c r="C138" s="89"/>
      <c r="D138" s="90">
        <v>26221000</v>
      </c>
      <c r="E138" s="90">
        <v>25936000</v>
      </c>
      <c r="F138" s="90"/>
      <c r="G138" s="45">
        <f>13039290+4391148</f>
        <v>17430438</v>
      </c>
      <c r="H138" s="45">
        <v>4391148</v>
      </c>
    </row>
    <row r="139" spans="1:8" s="19" customFormat="1" ht="16.5" customHeight="1">
      <c r="A139" s="22"/>
      <c r="B139" s="85" t="s">
        <v>380</v>
      </c>
      <c r="C139" s="89"/>
      <c r="D139" s="90">
        <v>13000000</v>
      </c>
      <c r="E139" s="90">
        <v>12500000</v>
      </c>
      <c r="F139" s="90"/>
      <c r="G139" s="45">
        <f>4064027.79+2328655.69+1975855</f>
        <v>8368538.48</v>
      </c>
      <c r="H139" s="45">
        <v>1975855</v>
      </c>
    </row>
    <row r="140" spans="1:8" s="19" customFormat="1" ht="16.5" customHeight="1">
      <c r="A140" s="22"/>
      <c r="B140" s="85" t="s">
        <v>381</v>
      </c>
      <c r="C140" s="89"/>
      <c r="D140" s="90">
        <v>13221000</v>
      </c>
      <c r="E140" s="90">
        <v>13436000</v>
      </c>
      <c r="F140" s="90"/>
      <c r="G140" s="45">
        <f>4489254.96+2157351.56+2415293</f>
        <v>9061899.52</v>
      </c>
      <c r="H140" s="45">
        <v>2415293</v>
      </c>
    </row>
    <row r="141" spans="1:8" s="19" customFormat="1" ht="16.5" customHeight="1">
      <c r="A141" s="22"/>
      <c r="B141" s="42" t="s">
        <v>382</v>
      </c>
      <c r="C141" s="89"/>
      <c r="D141" s="90">
        <v>1380000</v>
      </c>
      <c r="E141" s="90">
        <v>1380000</v>
      </c>
      <c r="F141" s="90"/>
      <c r="G141" s="23">
        <f>690000+202203.56</f>
        <v>892203.56</v>
      </c>
      <c r="H141" s="23">
        <v>202203.56</v>
      </c>
    </row>
    <row r="142" spans="1:8" s="19" customFormat="1" ht="30">
      <c r="A142" s="22"/>
      <c r="B142" s="42" t="s">
        <v>483</v>
      </c>
      <c r="C142" s="89"/>
      <c r="D142" s="90">
        <v>1302330</v>
      </c>
      <c r="E142" s="90">
        <v>1076330</v>
      </c>
      <c r="F142" s="90"/>
      <c r="G142" s="23">
        <v>532665</v>
      </c>
      <c r="H142" s="23">
        <v>0</v>
      </c>
    </row>
    <row r="143" spans="1:8" s="19" customFormat="1" ht="45">
      <c r="A143" s="22"/>
      <c r="B143" s="42" t="s">
        <v>496</v>
      </c>
      <c r="C143" s="89"/>
      <c r="D143" s="90">
        <v>176000</v>
      </c>
      <c r="E143" s="90">
        <v>132000</v>
      </c>
      <c r="F143" s="90"/>
      <c r="G143" s="23"/>
      <c r="H143" s="23"/>
    </row>
    <row r="144" spans="1:8" s="19" customFormat="1" ht="16.5" customHeight="1">
      <c r="A144" s="22"/>
      <c r="B144" s="24" t="s">
        <v>328</v>
      </c>
      <c r="C144" s="89"/>
      <c r="D144" s="90"/>
      <c r="E144" s="90"/>
      <c r="F144" s="90"/>
      <c r="G144" s="23">
        <f>-754.93-132.12</f>
        <v>-887.05</v>
      </c>
      <c r="H144" s="23">
        <v>-132.12</v>
      </c>
    </row>
    <row r="145" spans="1:8" s="19" customFormat="1" ht="16.5" customHeight="1">
      <c r="A145" s="22" t="s">
        <v>394</v>
      </c>
      <c r="B145" s="43" t="s">
        <v>497</v>
      </c>
      <c r="C145" s="89">
        <f aca="true" t="shared" si="41" ref="C145:H145">C146+C147</f>
        <v>0</v>
      </c>
      <c r="D145" s="89">
        <f t="shared" si="41"/>
        <v>9208000</v>
      </c>
      <c r="E145" s="89">
        <f t="shared" si="41"/>
        <v>9967000</v>
      </c>
      <c r="F145" s="89">
        <f t="shared" si="41"/>
        <v>0</v>
      </c>
      <c r="G145" s="89">
        <f t="shared" si="41"/>
        <v>7090283</v>
      </c>
      <c r="H145" s="89">
        <f t="shared" si="41"/>
        <v>1777713</v>
      </c>
    </row>
    <row r="146" spans="1:8" s="19" customFormat="1" ht="16.5" customHeight="1">
      <c r="A146" s="22"/>
      <c r="B146" s="101" t="s">
        <v>336</v>
      </c>
      <c r="C146" s="89"/>
      <c r="D146" s="90">
        <v>9208000</v>
      </c>
      <c r="E146" s="90">
        <v>9967000</v>
      </c>
      <c r="F146" s="90"/>
      <c r="G146" s="89">
        <f>5312570+1777713</f>
        <v>7090283</v>
      </c>
      <c r="H146" s="89">
        <v>1777713</v>
      </c>
    </row>
    <row r="147" spans="1:8" s="19" customFormat="1" ht="16.5" customHeight="1">
      <c r="A147" s="22"/>
      <c r="B147" s="101" t="s">
        <v>498</v>
      </c>
      <c r="C147" s="89"/>
      <c r="D147" s="90"/>
      <c r="E147" s="90"/>
      <c r="F147" s="90"/>
      <c r="G147" s="89"/>
      <c r="H147" s="89"/>
    </row>
    <row r="148" spans="1:8" s="19" customFormat="1" ht="16.5" customHeight="1">
      <c r="A148" s="22"/>
      <c r="B148" s="24" t="s">
        <v>328</v>
      </c>
      <c r="C148" s="89"/>
      <c r="D148" s="90"/>
      <c r="E148" s="90"/>
      <c r="F148" s="90"/>
      <c r="G148" s="23"/>
      <c r="H148" s="23"/>
    </row>
    <row r="149" spans="1:8" s="19" customFormat="1" ht="16.5" customHeight="1">
      <c r="A149" s="17" t="s">
        <v>396</v>
      </c>
      <c r="B149" s="44" t="s">
        <v>385</v>
      </c>
      <c r="C149" s="89">
        <f aca="true" t="shared" si="42" ref="C149:H149">+C150+C151</f>
        <v>0</v>
      </c>
      <c r="D149" s="89">
        <f t="shared" si="42"/>
        <v>323000</v>
      </c>
      <c r="E149" s="89">
        <f t="shared" si="42"/>
        <v>316000</v>
      </c>
      <c r="F149" s="89">
        <f t="shared" si="42"/>
        <v>0</v>
      </c>
      <c r="G149" s="89">
        <f t="shared" si="42"/>
        <v>208000</v>
      </c>
      <c r="H149" s="89">
        <f t="shared" si="42"/>
        <v>58000</v>
      </c>
    </row>
    <row r="150" spans="1:8" s="19" customFormat="1" ht="16.5" customHeight="1">
      <c r="A150" s="22"/>
      <c r="B150" s="42" t="s">
        <v>379</v>
      </c>
      <c r="C150" s="89"/>
      <c r="D150" s="90">
        <v>323000</v>
      </c>
      <c r="E150" s="90">
        <v>316000</v>
      </c>
      <c r="F150" s="90"/>
      <c r="G150" s="45">
        <v>208000</v>
      </c>
      <c r="H150" s="45">
        <v>58000</v>
      </c>
    </row>
    <row r="151" spans="1:8" s="19" customFormat="1" ht="16.5" customHeight="1">
      <c r="A151" s="22"/>
      <c r="B151" s="42" t="s">
        <v>387</v>
      </c>
      <c r="C151" s="89"/>
      <c r="D151" s="90"/>
      <c r="E151" s="90"/>
      <c r="F151" s="90"/>
      <c r="G151" s="45"/>
      <c r="H151" s="45"/>
    </row>
    <row r="152" spans="1:8" ht="16.5" customHeight="1">
      <c r="A152" s="22"/>
      <c r="B152" s="24" t="s">
        <v>328</v>
      </c>
      <c r="C152" s="89"/>
      <c r="D152" s="90"/>
      <c r="E152" s="90"/>
      <c r="F152" s="90"/>
      <c r="G152" s="45"/>
      <c r="H152" s="45"/>
    </row>
    <row r="153" spans="1:8" ht="16.5" customHeight="1">
      <c r="A153" s="17" t="s">
        <v>398</v>
      </c>
      <c r="B153" s="44" t="s">
        <v>389</v>
      </c>
      <c r="C153" s="87">
        <f aca="true" t="shared" si="43" ref="C153:H153">+C154+C155+C156+C157+C158</f>
        <v>0</v>
      </c>
      <c r="D153" s="87">
        <f t="shared" si="43"/>
        <v>6937600</v>
      </c>
      <c r="E153" s="87">
        <f t="shared" si="43"/>
        <v>6895000</v>
      </c>
      <c r="F153" s="87">
        <f t="shared" si="43"/>
        <v>0</v>
      </c>
      <c r="G153" s="87">
        <f t="shared" si="43"/>
        <v>4468847</v>
      </c>
      <c r="H153" s="87">
        <f t="shared" si="43"/>
        <v>1331767</v>
      </c>
    </row>
    <row r="154" spans="1:8" ht="15">
      <c r="A154" s="22"/>
      <c r="B154" s="23" t="s">
        <v>390</v>
      </c>
      <c r="C154" s="89"/>
      <c r="D154" s="90">
        <v>6921000</v>
      </c>
      <c r="E154" s="90">
        <v>6880000</v>
      </c>
      <c r="F154" s="90"/>
      <c r="G154" s="45">
        <f>3130000+1328587</f>
        <v>4458587</v>
      </c>
      <c r="H154" s="45">
        <v>1328587</v>
      </c>
    </row>
    <row r="155" spans="1:8" ht="30">
      <c r="A155" s="22"/>
      <c r="B155" s="23" t="s">
        <v>391</v>
      </c>
      <c r="C155" s="89"/>
      <c r="D155" s="90"/>
      <c r="E155" s="90"/>
      <c r="F155" s="90"/>
      <c r="G155" s="45"/>
      <c r="H155" s="45"/>
    </row>
    <row r="156" spans="1:8" ht="30">
      <c r="A156" s="22"/>
      <c r="B156" s="23" t="s">
        <v>392</v>
      </c>
      <c r="C156" s="89"/>
      <c r="D156" s="90">
        <v>16600</v>
      </c>
      <c r="E156" s="90">
        <v>15000</v>
      </c>
      <c r="F156" s="90"/>
      <c r="G156" s="45">
        <f>7080+3180</f>
        <v>10260</v>
      </c>
      <c r="H156" s="45">
        <v>3180</v>
      </c>
    </row>
    <row r="157" spans="1:8" s="19" customFormat="1" ht="30">
      <c r="A157" s="22"/>
      <c r="B157" s="23" t="s">
        <v>393</v>
      </c>
      <c r="C157" s="89"/>
      <c r="D157" s="90"/>
      <c r="E157" s="90"/>
      <c r="F157" s="90"/>
      <c r="G157" s="45"/>
      <c r="H157" s="45"/>
    </row>
    <row r="158" spans="1:8" s="19" customFormat="1" ht="30">
      <c r="A158" s="22"/>
      <c r="B158" s="23" t="s">
        <v>498</v>
      </c>
      <c r="C158" s="89"/>
      <c r="D158" s="90"/>
      <c r="E158" s="90"/>
      <c r="F158" s="90"/>
      <c r="G158" s="45"/>
      <c r="H158" s="45"/>
    </row>
    <row r="159" spans="1:8" ht="15">
      <c r="A159" s="22"/>
      <c r="B159" s="24" t="s">
        <v>328</v>
      </c>
      <c r="C159" s="89"/>
      <c r="D159" s="90"/>
      <c r="E159" s="90"/>
      <c r="F159" s="90"/>
      <c r="G159" s="45">
        <v>-104.87</v>
      </c>
      <c r="H159" s="45"/>
    </row>
    <row r="160" spans="1:8" ht="16.5" customHeight="1">
      <c r="A160" s="17" t="s">
        <v>403</v>
      </c>
      <c r="B160" s="44" t="s">
        <v>395</v>
      </c>
      <c r="C160" s="89">
        <f aca="true" t="shared" si="44" ref="C160:H160">+C161+C162+C163</f>
        <v>0</v>
      </c>
      <c r="D160" s="89">
        <f t="shared" si="44"/>
        <v>1146000</v>
      </c>
      <c r="E160" s="89">
        <f t="shared" si="44"/>
        <v>954000</v>
      </c>
      <c r="F160" s="89">
        <f t="shared" si="44"/>
        <v>0</v>
      </c>
      <c r="G160" s="89">
        <f t="shared" si="44"/>
        <v>573911</v>
      </c>
      <c r="H160" s="89">
        <f t="shared" si="44"/>
        <v>192911</v>
      </c>
    </row>
    <row r="161" spans="1:8" ht="16.5" customHeight="1">
      <c r="A161" s="17"/>
      <c r="B161" s="42" t="s">
        <v>379</v>
      </c>
      <c r="C161" s="89"/>
      <c r="D161" s="90">
        <v>1146000</v>
      </c>
      <c r="E161" s="90">
        <v>954000</v>
      </c>
      <c r="F161" s="90"/>
      <c r="G161" s="45">
        <f>381000+192911</f>
        <v>573911</v>
      </c>
      <c r="H161" s="45">
        <v>192911</v>
      </c>
    </row>
    <row r="162" spans="1:8" ht="16.5" customHeight="1">
      <c r="A162" s="22"/>
      <c r="B162" s="42" t="s">
        <v>387</v>
      </c>
      <c r="C162" s="89"/>
      <c r="D162" s="90"/>
      <c r="E162" s="90"/>
      <c r="F162" s="90"/>
      <c r="G162" s="45"/>
      <c r="H162" s="45"/>
    </row>
    <row r="163" spans="1:8" ht="30">
      <c r="A163" s="22"/>
      <c r="B163" s="42" t="s">
        <v>498</v>
      </c>
      <c r="C163" s="89"/>
      <c r="D163" s="90"/>
      <c r="E163" s="90"/>
      <c r="F163" s="90"/>
      <c r="G163" s="45"/>
      <c r="H163" s="45"/>
    </row>
    <row r="164" spans="1:8" ht="16.5" customHeight="1">
      <c r="A164" s="22"/>
      <c r="B164" s="24" t="s">
        <v>328</v>
      </c>
      <c r="C164" s="89"/>
      <c r="D164" s="90"/>
      <c r="E164" s="90"/>
      <c r="F164" s="90"/>
      <c r="G164" s="45"/>
      <c r="H164" s="45"/>
    </row>
    <row r="165" spans="1:8" ht="16.5" customHeight="1">
      <c r="A165" s="17" t="s">
        <v>406</v>
      </c>
      <c r="B165" s="24" t="s">
        <v>397</v>
      </c>
      <c r="C165" s="89"/>
      <c r="D165" s="90">
        <v>12000</v>
      </c>
      <c r="E165" s="90">
        <v>10000</v>
      </c>
      <c r="F165" s="90"/>
      <c r="G165" s="96">
        <f>2075.04+1774.52</f>
        <v>3849.56</v>
      </c>
      <c r="H165" s="96">
        <v>1774.52</v>
      </c>
    </row>
    <row r="166" spans="1:8" ht="16.5" customHeight="1">
      <c r="A166" s="17"/>
      <c r="B166" s="24" t="s">
        <v>328</v>
      </c>
      <c r="C166" s="89"/>
      <c r="D166" s="90"/>
      <c r="E166" s="90"/>
      <c r="F166" s="90"/>
      <c r="G166" s="96"/>
      <c r="H166" s="96"/>
    </row>
    <row r="167" spans="1:8" ht="16.5" customHeight="1">
      <c r="A167" s="17" t="s">
        <v>408</v>
      </c>
      <c r="B167" s="20" t="s">
        <v>399</v>
      </c>
      <c r="C167" s="88">
        <f aca="true" t="shared" si="45" ref="C167:H167">+C168+C175</f>
        <v>0</v>
      </c>
      <c r="D167" s="88">
        <f t="shared" si="45"/>
        <v>131091000</v>
      </c>
      <c r="E167" s="88">
        <f t="shared" si="45"/>
        <v>130522000</v>
      </c>
      <c r="F167" s="88">
        <f t="shared" si="45"/>
        <v>0</v>
      </c>
      <c r="G167" s="88">
        <f t="shared" si="45"/>
        <v>91776880</v>
      </c>
      <c r="H167" s="88">
        <f t="shared" si="45"/>
        <v>22291080</v>
      </c>
    </row>
    <row r="168" spans="1:8" ht="16.5" customHeight="1">
      <c r="A168" s="22" t="s">
        <v>410</v>
      </c>
      <c r="B168" s="20" t="s">
        <v>400</v>
      </c>
      <c r="C168" s="89">
        <f aca="true" t="shared" si="46" ref="C168:H168">C169+C172+C171+C173+C170</f>
        <v>0</v>
      </c>
      <c r="D168" s="89">
        <f t="shared" si="46"/>
        <v>127259000</v>
      </c>
      <c r="E168" s="89">
        <f t="shared" si="46"/>
        <v>126943000</v>
      </c>
      <c r="F168" s="89">
        <f t="shared" si="46"/>
        <v>0</v>
      </c>
      <c r="G168" s="89">
        <f t="shared" si="46"/>
        <v>89505880</v>
      </c>
      <c r="H168" s="89">
        <f t="shared" si="46"/>
        <v>21641080</v>
      </c>
    </row>
    <row r="169" spans="1:8" ht="15">
      <c r="A169" s="22"/>
      <c r="B169" s="23" t="s">
        <v>336</v>
      </c>
      <c r="C169" s="89"/>
      <c r="D169" s="90">
        <v>126465000</v>
      </c>
      <c r="E169" s="90">
        <v>126465000</v>
      </c>
      <c r="F169" s="90"/>
      <c r="G169" s="45">
        <f>67864800+21515000</f>
        <v>89379800</v>
      </c>
      <c r="H169" s="45">
        <v>21515000</v>
      </c>
    </row>
    <row r="170" spans="1:8" ht="30">
      <c r="A170" s="22"/>
      <c r="B170" s="23" t="s">
        <v>498</v>
      </c>
      <c r="C170" s="89"/>
      <c r="D170" s="90">
        <v>794000</v>
      </c>
      <c r="E170" s="90">
        <v>478000</v>
      </c>
      <c r="F170" s="90"/>
      <c r="G170" s="45">
        <v>126080</v>
      </c>
      <c r="H170" s="45">
        <v>126080</v>
      </c>
    </row>
    <row r="171" spans="1:8" ht="45">
      <c r="A171" s="22"/>
      <c r="B171" s="23" t="s">
        <v>401</v>
      </c>
      <c r="C171" s="89"/>
      <c r="D171" s="90"/>
      <c r="E171" s="90"/>
      <c r="F171" s="90"/>
      <c r="G171" s="45"/>
      <c r="H171" s="45"/>
    </row>
    <row r="172" spans="1:8" ht="30">
      <c r="A172" s="22"/>
      <c r="B172" s="23" t="s">
        <v>402</v>
      </c>
      <c r="C172" s="89"/>
      <c r="D172" s="90"/>
      <c r="E172" s="90"/>
      <c r="F172" s="90"/>
      <c r="G172" s="96"/>
      <c r="H172" s="96"/>
    </row>
    <row r="173" spans="1:8" ht="15">
      <c r="A173" s="22"/>
      <c r="B173" s="47" t="s">
        <v>404</v>
      </c>
      <c r="C173" s="89"/>
      <c r="D173" s="90"/>
      <c r="E173" s="90"/>
      <c r="F173" s="90"/>
      <c r="G173" s="45"/>
      <c r="H173" s="45"/>
    </row>
    <row r="174" spans="1:8" ht="15">
      <c r="A174" s="22"/>
      <c r="B174" s="24" t="s">
        <v>328</v>
      </c>
      <c r="C174" s="89"/>
      <c r="D174" s="90"/>
      <c r="E174" s="90"/>
      <c r="F174" s="90"/>
      <c r="G174" s="45">
        <f>-991.62-2361.76-5245.44</f>
        <v>-8598.82</v>
      </c>
      <c r="H174" s="45">
        <v>-5245.44</v>
      </c>
    </row>
    <row r="175" spans="1:8" ht="16.5" customHeight="1">
      <c r="A175" s="22" t="s">
        <v>414</v>
      </c>
      <c r="B175" s="20" t="s">
        <v>405</v>
      </c>
      <c r="C175" s="89">
        <f aca="true" t="shared" si="47" ref="C175:H175">C176+C177</f>
        <v>0</v>
      </c>
      <c r="D175" s="89">
        <f t="shared" si="47"/>
        <v>3832000</v>
      </c>
      <c r="E175" s="89">
        <f t="shared" si="47"/>
        <v>3579000</v>
      </c>
      <c r="F175" s="89">
        <f t="shared" si="47"/>
        <v>0</v>
      </c>
      <c r="G175" s="89">
        <f t="shared" si="47"/>
        <v>2271000</v>
      </c>
      <c r="H175" s="89">
        <f t="shared" si="47"/>
        <v>650000</v>
      </c>
    </row>
    <row r="176" spans="1:8" ht="16.5" customHeight="1">
      <c r="A176" s="22"/>
      <c r="B176" s="23" t="s">
        <v>336</v>
      </c>
      <c r="C176" s="89"/>
      <c r="D176" s="90">
        <v>3832000</v>
      </c>
      <c r="E176" s="90">
        <v>3579000</v>
      </c>
      <c r="F176" s="90"/>
      <c r="G176" s="45">
        <f>1621000+650000</f>
        <v>2271000</v>
      </c>
      <c r="H176" s="45">
        <v>650000</v>
      </c>
    </row>
    <row r="177" spans="1:8" ht="16.5" customHeight="1">
      <c r="A177" s="22"/>
      <c r="B177" s="48" t="s">
        <v>407</v>
      </c>
      <c r="C177" s="89"/>
      <c r="D177" s="90"/>
      <c r="E177" s="90"/>
      <c r="F177" s="90"/>
      <c r="G177" s="45"/>
      <c r="H177" s="45"/>
    </row>
    <row r="178" spans="1:8" ht="16.5" customHeight="1">
      <c r="A178" s="22"/>
      <c r="B178" s="24" t="s">
        <v>328</v>
      </c>
      <c r="C178" s="89"/>
      <c r="D178" s="90"/>
      <c r="E178" s="90"/>
      <c r="F178" s="90"/>
      <c r="G178" s="45"/>
      <c r="H178" s="45"/>
    </row>
    <row r="179" spans="1:8" ht="16.5" customHeight="1">
      <c r="A179" s="17" t="s">
        <v>417</v>
      </c>
      <c r="B179" s="24" t="s">
        <v>409</v>
      </c>
      <c r="C179" s="89"/>
      <c r="D179" s="90"/>
      <c r="E179" s="90"/>
      <c r="F179" s="90"/>
      <c r="G179" s="45"/>
      <c r="H179" s="45"/>
    </row>
    <row r="180" spans="1:8" ht="16.5" customHeight="1">
      <c r="A180" s="17"/>
      <c r="B180" s="24" t="s">
        <v>328</v>
      </c>
      <c r="C180" s="89"/>
      <c r="D180" s="90"/>
      <c r="E180" s="90"/>
      <c r="F180" s="90"/>
      <c r="G180" s="45"/>
      <c r="H180" s="45"/>
    </row>
    <row r="181" spans="1:8" ht="16.5" customHeight="1">
      <c r="A181" s="17" t="s">
        <v>418</v>
      </c>
      <c r="B181" s="24" t="s">
        <v>411</v>
      </c>
      <c r="C181" s="89"/>
      <c r="D181" s="90">
        <v>4893960</v>
      </c>
      <c r="E181" s="90">
        <v>4893960</v>
      </c>
      <c r="F181" s="90"/>
      <c r="G181" s="45">
        <f>3344141.95+1549809.87</f>
        <v>4893951.82</v>
      </c>
      <c r="H181" s="45">
        <v>1549809.87</v>
      </c>
    </row>
    <row r="182" spans="1:8" ht="16.5" customHeight="1">
      <c r="A182" s="17"/>
      <c r="B182" s="24" t="s">
        <v>328</v>
      </c>
      <c r="C182" s="89"/>
      <c r="D182" s="90"/>
      <c r="E182" s="90"/>
      <c r="F182" s="90"/>
      <c r="G182" s="45">
        <f>-38453.15-2508.88-5227.8</f>
        <v>-46189.83</v>
      </c>
      <c r="H182" s="45">
        <v>-5227.8</v>
      </c>
    </row>
    <row r="183" spans="1:8" ht="15">
      <c r="A183" s="17"/>
      <c r="B183" s="20" t="s">
        <v>412</v>
      </c>
      <c r="C183" s="89">
        <f aca="true" t="shared" si="48" ref="C183:H183">C88+C100+C115+C131+C133+C135+C144+C148+C152+C159+C164+C166+C174+C178+C180+C182</f>
        <v>0</v>
      </c>
      <c r="D183" s="89">
        <f t="shared" si="48"/>
        <v>0</v>
      </c>
      <c r="E183" s="89">
        <f t="shared" si="48"/>
        <v>0</v>
      </c>
      <c r="F183" s="89">
        <f t="shared" si="48"/>
        <v>0</v>
      </c>
      <c r="G183" s="89">
        <f t="shared" si="48"/>
        <v>-90660.52</v>
      </c>
      <c r="H183" s="89">
        <f t="shared" si="48"/>
        <v>-10605.36</v>
      </c>
    </row>
    <row r="184" spans="1:8" ht="30">
      <c r="A184" s="17" t="s">
        <v>208</v>
      </c>
      <c r="B184" s="20" t="s">
        <v>193</v>
      </c>
      <c r="C184" s="89">
        <f aca="true" t="shared" si="49" ref="C184:H184">C185</f>
        <v>0</v>
      </c>
      <c r="D184" s="89">
        <f t="shared" si="49"/>
        <v>245696500</v>
      </c>
      <c r="E184" s="89">
        <f t="shared" si="49"/>
        <v>245696500</v>
      </c>
      <c r="F184" s="89">
        <f t="shared" si="49"/>
        <v>7501000</v>
      </c>
      <c r="G184" s="89">
        <f t="shared" si="49"/>
        <v>109921717</v>
      </c>
      <c r="H184" s="89">
        <f t="shared" si="49"/>
        <v>28260363</v>
      </c>
    </row>
    <row r="185" spans="1:8" ht="15">
      <c r="A185" s="17" t="s">
        <v>421</v>
      </c>
      <c r="B185" s="20" t="s">
        <v>413</v>
      </c>
      <c r="C185" s="89">
        <f aca="true" t="shared" si="50" ref="C185:H185">C186+C195</f>
        <v>0</v>
      </c>
      <c r="D185" s="89">
        <f t="shared" si="50"/>
        <v>245696500</v>
      </c>
      <c r="E185" s="89">
        <f t="shared" si="50"/>
        <v>245696500</v>
      </c>
      <c r="F185" s="89">
        <f t="shared" si="50"/>
        <v>7501000</v>
      </c>
      <c r="G185" s="89">
        <f t="shared" si="50"/>
        <v>109921717</v>
      </c>
      <c r="H185" s="89">
        <f t="shared" si="50"/>
        <v>28260363</v>
      </c>
    </row>
    <row r="186" spans="1:8" ht="30">
      <c r="A186" s="17" t="s">
        <v>423</v>
      </c>
      <c r="B186" s="20" t="s">
        <v>415</v>
      </c>
      <c r="C186" s="89">
        <f aca="true" t="shared" si="51" ref="C186:H186">C187+C190+C193+C188+C189+C194</f>
        <v>0</v>
      </c>
      <c r="D186" s="89">
        <f t="shared" si="51"/>
        <v>244204000</v>
      </c>
      <c r="E186" s="89">
        <f t="shared" si="51"/>
        <v>244204000</v>
      </c>
      <c r="F186" s="89">
        <f t="shared" si="51"/>
        <v>7501000</v>
      </c>
      <c r="G186" s="89">
        <f t="shared" si="51"/>
        <v>108696717</v>
      </c>
      <c r="H186" s="89">
        <f t="shared" si="51"/>
        <v>27035363</v>
      </c>
    </row>
    <row r="187" spans="1:8" ht="30">
      <c r="A187" s="17"/>
      <c r="B187" s="24" t="s">
        <v>484</v>
      </c>
      <c r="C187" s="89"/>
      <c r="D187" s="90">
        <v>220221000</v>
      </c>
      <c r="E187" s="90">
        <v>220221000</v>
      </c>
      <c r="F187" s="90"/>
      <c r="G187" s="89">
        <f>73406902+24812037</f>
        <v>98218939</v>
      </c>
      <c r="H187" s="89">
        <v>24812037</v>
      </c>
    </row>
    <row r="188" spans="1:8" ht="30">
      <c r="A188" s="17"/>
      <c r="B188" s="24" t="s">
        <v>485</v>
      </c>
      <c r="C188" s="89"/>
      <c r="D188" s="90">
        <v>1707000</v>
      </c>
      <c r="E188" s="90">
        <v>1707000</v>
      </c>
      <c r="F188" s="90"/>
      <c r="G188" s="89">
        <f>568973+176792</f>
        <v>745765</v>
      </c>
      <c r="H188" s="89">
        <v>176792</v>
      </c>
    </row>
    <row r="189" spans="1:8" ht="30">
      <c r="A189" s="17"/>
      <c r="B189" s="24" t="s">
        <v>486</v>
      </c>
      <c r="C189" s="89"/>
      <c r="D189" s="90">
        <v>488000</v>
      </c>
      <c r="E189" s="90">
        <v>488000</v>
      </c>
      <c r="F189" s="90"/>
      <c r="G189" s="89">
        <f>162815+54133</f>
        <v>216948</v>
      </c>
      <c r="H189" s="89">
        <v>54133</v>
      </c>
    </row>
    <row r="190" spans="1:8" ht="30">
      <c r="A190" s="17"/>
      <c r="B190" s="24" t="s">
        <v>487</v>
      </c>
      <c r="C190" s="89">
        <f aca="true" t="shared" si="52" ref="C190:H190">C191+C192</f>
        <v>0</v>
      </c>
      <c r="D190" s="89">
        <f t="shared" si="52"/>
        <v>15549000</v>
      </c>
      <c r="E190" s="89">
        <f t="shared" si="52"/>
        <v>15549000</v>
      </c>
      <c r="F190" s="89">
        <f t="shared" si="52"/>
        <v>7501000</v>
      </c>
      <c r="G190" s="89">
        <f t="shared" si="52"/>
        <v>6910696</v>
      </c>
      <c r="H190" s="89">
        <f t="shared" si="52"/>
        <v>1727729</v>
      </c>
    </row>
    <row r="191" spans="1:8" ht="75">
      <c r="A191" s="17"/>
      <c r="B191" s="24" t="s">
        <v>416</v>
      </c>
      <c r="C191" s="89"/>
      <c r="D191" s="90">
        <v>7501000</v>
      </c>
      <c r="E191" s="90">
        <v>7501000</v>
      </c>
      <c r="F191" s="90">
        <v>7501000</v>
      </c>
      <c r="G191" s="89">
        <f>2500465+816786</f>
        <v>3317251</v>
      </c>
      <c r="H191" s="89">
        <v>816786</v>
      </c>
    </row>
    <row r="192" spans="1:8" ht="75">
      <c r="A192" s="17"/>
      <c r="B192" s="24" t="s">
        <v>488</v>
      </c>
      <c r="C192" s="89"/>
      <c r="D192" s="90">
        <v>8048000</v>
      </c>
      <c r="E192" s="90">
        <v>8048000</v>
      </c>
      <c r="F192" s="90"/>
      <c r="G192" s="89">
        <f>2682502+910943</f>
        <v>3593445</v>
      </c>
      <c r="H192" s="89">
        <v>910943</v>
      </c>
    </row>
    <row r="193" spans="1:8" ht="45">
      <c r="A193" s="17"/>
      <c r="B193" s="24" t="s">
        <v>489</v>
      </c>
      <c r="C193" s="89"/>
      <c r="D193" s="90"/>
      <c r="E193" s="90"/>
      <c r="F193" s="90"/>
      <c r="G193" s="89"/>
      <c r="H193" s="89"/>
    </row>
    <row r="194" spans="1:8" ht="45">
      <c r="A194" s="17"/>
      <c r="B194" s="24" t="s">
        <v>490</v>
      </c>
      <c r="C194" s="89"/>
      <c r="D194" s="90">
        <v>6239000</v>
      </c>
      <c r="E194" s="90">
        <v>6239000</v>
      </c>
      <c r="F194" s="90"/>
      <c r="G194" s="89">
        <f>2339697+264672</f>
        <v>2604369</v>
      </c>
      <c r="H194" s="89">
        <v>264672</v>
      </c>
    </row>
    <row r="195" spans="1:8" ht="15">
      <c r="A195" s="17" t="s">
        <v>429</v>
      </c>
      <c r="B195" s="20" t="s">
        <v>491</v>
      </c>
      <c r="C195" s="89">
        <f aca="true" t="shared" si="53" ref="C195:H195">C196+C197</f>
        <v>0</v>
      </c>
      <c r="D195" s="89">
        <f t="shared" si="53"/>
        <v>1492500</v>
      </c>
      <c r="E195" s="89">
        <f t="shared" si="53"/>
        <v>1492500</v>
      </c>
      <c r="F195" s="89">
        <f t="shared" si="53"/>
        <v>0</v>
      </c>
      <c r="G195" s="89">
        <f t="shared" si="53"/>
        <v>1225000</v>
      </c>
      <c r="H195" s="89">
        <f t="shared" si="53"/>
        <v>1225000</v>
      </c>
    </row>
    <row r="196" spans="1:8" ht="45">
      <c r="A196" s="17"/>
      <c r="B196" s="24" t="s">
        <v>492</v>
      </c>
      <c r="C196" s="89"/>
      <c r="D196" s="90"/>
      <c r="E196" s="90"/>
      <c r="F196" s="90"/>
      <c r="G196" s="89"/>
      <c r="H196" s="89"/>
    </row>
    <row r="197" spans="1:8" ht="30">
      <c r="A197" s="17"/>
      <c r="B197" s="24" t="s">
        <v>493</v>
      </c>
      <c r="C197" s="89"/>
      <c r="D197" s="90">
        <v>1492500</v>
      </c>
      <c r="E197" s="90">
        <v>1492500</v>
      </c>
      <c r="F197" s="90"/>
      <c r="G197" s="89">
        <v>1225000</v>
      </c>
      <c r="H197" s="89">
        <v>1225000</v>
      </c>
    </row>
    <row r="198" spans="1:8" ht="15">
      <c r="A198" s="17" t="s">
        <v>431</v>
      </c>
      <c r="B198" s="49" t="s">
        <v>419</v>
      </c>
      <c r="C198" s="93">
        <f>+C199</f>
        <v>0</v>
      </c>
      <c r="D198" s="93">
        <f aca="true" t="shared" si="54" ref="D198:H200">+D199</f>
        <v>49595000</v>
      </c>
      <c r="E198" s="93">
        <f t="shared" si="54"/>
        <v>49595000</v>
      </c>
      <c r="F198" s="93">
        <f t="shared" si="54"/>
        <v>0</v>
      </c>
      <c r="G198" s="93">
        <f t="shared" si="54"/>
        <v>17875144</v>
      </c>
      <c r="H198" s="93">
        <f t="shared" si="54"/>
        <v>7482886</v>
      </c>
    </row>
    <row r="199" spans="1:8" ht="16.5" customHeight="1">
      <c r="A199" s="17" t="s">
        <v>433</v>
      </c>
      <c r="B199" s="49" t="s">
        <v>189</v>
      </c>
      <c r="C199" s="93">
        <f>+C200</f>
        <v>0</v>
      </c>
      <c r="D199" s="93">
        <f t="shared" si="54"/>
        <v>49595000</v>
      </c>
      <c r="E199" s="93">
        <f t="shared" si="54"/>
        <v>49595000</v>
      </c>
      <c r="F199" s="93">
        <f t="shared" si="54"/>
        <v>0</v>
      </c>
      <c r="G199" s="93">
        <f t="shared" si="54"/>
        <v>17875144</v>
      </c>
      <c r="H199" s="93">
        <f t="shared" si="54"/>
        <v>7482886</v>
      </c>
    </row>
    <row r="200" spans="1:8" ht="16.5" customHeight="1">
      <c r="A200" s="17" t="s">
        <v>435</v>
      </c>
      <c r="B200" s="20" t="s">
        <v>420</v>
      </c>
      <c r="C200" s="93">
        <f>+C201</f>
        <v>0</v>
      </c>
      <c r="D200" s="93">
        <f t="shared" si="54"/>
        <v>49595000</v>
      </c>
      <c r="E200" s="93">
        <f t="shared" si="54"/>
        <v>49595000</v>
      </c>
      <c r="F200" s="93">
        <f t="shared" si="54"/>
        <v>0</v>
      </c>
      <c r="G200" s="93">
        <f t="shared" si="54"/>
        <v>17875144</v>
      </c>
      <c r="H200" s="93">
        <f t="shared" si="54"/>
        <v>7482886</v>
      </c>
    </row>
    <row r="201" spans="1:8" ht="16.5" customHeight="1">
      <c r="A201" s="22" t="s">
        <v>437</v>
      </c>
      <c r="B201" s="49" t="s">
        <v>422</v>
      </c>
      <c r="C201" s="88">
        <f aca="true" t="shared" si="55" ref="C201:H201">C202</f>
        <v>0</v>
      </c>
      <c r="D201" s="88">
        <f t="shared" si="55"/>
        <v>49595000</v>
      </c>
      <c r="E201" s="88">
        <f t="shared" si="55"/>
        <v>49595000</v>
      </c>
      <c r="F201" s="88">
        <f t="shared" si="55"/>
        <v>0</v>
      </c>
      <c r="G201" s="88">
        <f t="shared" si="55"/>
        <v>17875144</v>
      </c>
      <c r="H201" s="88">
        <f t="shared" si="55"/>
        <v>7482886</v>
      </c>
    </row>
    <row r="202" spans="1:8" ht="16.5" customHeight="1">
      <c r="A202" s="22" t="s">
        <v>439</v>
      </c>
      <c r="B202" s="49" t="s">
        <v>424</v>
      </c>
      <c r="C202" s="88">
        <f aca="true" t="shared" si="56" ref="C202:H202">C204+C205+C206</f>
        <v>0</v>
      </c>
      <c r="D202" s="88">
        <f t="shared" si="56"/>
        <v>49595000</v>
      </c>
      <c r="E202" s="88">
        <f t="shared" si="56"/>
        <v>49595000</v>
      </c>
      <c r="F202" s="88">
        <f t="shared" si="56"/>
        <v>0</v>
      </c>
      <c r="G202" s="88">
        <f t="shared" si="56"/>
        <v>17875144</v>
      </c>
      <c r="H202" s="88">
        <f t="shared" si="56"/>
        <v>7482886</v>
      </c>
    </row>
    <row r="203" spans="1:8" ht="16.5" customHeight="1">
      <c r="A203" s="17" t="s">
        <v>441</v>
      </c>
      <c r="B203" s="49" t="s">
        <v>425</v>
      </c>
      <c r="C203" s="88">
        <f aca="true" t="shared" si="57" ref="C203:H203">C204</f>
        <v>0</v>
      </c>
      <c r="D203" s="88">
        <f t="shared" si="57"/>
        <v>36341000</v>
      </c>
      <c r="E203" s="88">
        <f t="shared" si="57"/>
        <v>36341000</v>
      </c>
      <c r="F203" s="88">
        <f t="shared" si="57"/>
        <v>0</v>
      </c>
      <c r="G203" s="88">
        <f t="shared" si="57"/>
        <v>13371115</v>
      </c>
      <c r="H203" s="88">
        <f t="shared" si="57"/>
        <v>5583017</v>
      </c>
    </row>
    <row r="204" spans="1:8" ht="16.5" customHeight="1">
      <c r="A204" s="22" t="s">
        <v>443</v>
      </c>
      <c r="B204" s="50" t="s">
        <v>426</v>
      </c>
      <c r="C204" s="89"/>
      <c r="D204" s="90">
        <v>36341000</v>
      </c>
      <c r="E204" s="90">
        <v>36341000</v>
      </c>
      <c r="F204" s="90"/>
      <c r="G204" s="45">
        <f>7787996+102+5582917+100</f>
        <v>13371115</v>
      </c>
      <c r="H204" s="45">
        <f>5582917+100</f>
        <v>5583017</v>
      </c>
    </row>
    <row r="205" spans="1:8" ht="16.5" customHeight="1">
      <c r="A205" s="22" t="s">
        <v>444</v>
      </c>
      <c r="B205" s="50" t="s">
        <v>427</v>
      </c>
      <c r="C205" s="89"/>
      <c r="D205" s="90">
        <v>13254000</v>
      </c>
      <c r="E205" s="90">
        <v>13254000</v>
      </c>
      <c r="F205" s="90"/>
      <c r="G205" s="45">
        <f>2609932+1899869</f>
        <v>4509801</v>
      </c>
      <c r="H205" s="45">
        <v>1899869</v>
      </c>
    </row>
    <row r="206" spans="1:8" ht="16.5" customHeight="1">
      <c r="A206" s="22"/>
      <c r="B206" s="28" t="s">
        <v>428</v>
      </c>
      <c r="C206" s="89"/>
      <c r="D206" s="90"/>
      <c r="E206" s="90"/>
      <c r="F206" s="90"/>
      <c r="G206" s="45">
        <v>-5772</v>
      </c>
      <c r="H206" s="45"/>
    </row>
    <row r="207" spans="1:8" ht="30">
      <c r="A207" s="22" t="s">
        <v>211</v>
      </c>
      <c r="B207" s="51" t="s">
        <v>195</v>
      </c>
      <c r="C207" s="86">
        <f aca="true" t="shared" si="58" ref="C207:H207">C212+C208</f>
        <v>0</v>
      </c>
      <c r="D207" s="86">
        <f t="shared" si="58"/>
        <v>0</v>
      </c>
      <c r="E207" s="86">
        <f t="shared" si="58"/>
        <v>0</v>
      </c>
      <c r="F207" s="86">
        <f t="shared" si="58"/>
        <v>0</v>
      </c>
      <c r="G207" s="86">
        <f t="shared" si="58"/>
        <v>0</v>
      </c>
      <c r="H207" s="86">
        <f t="shared" si="58"/>
        <v>0</v>
      </c>
    </row>
    <row r="208" spans="1:8" ht="15">
      <c r="A208" s="22" t="s">
        <v>446</v>
      </c>
      <c r="B208" s="51" t="s">
        <v>430</v>
      </c>
      <c r="C208" s="86">
        <f aca="true" t="shared" si="59" ref="C208:H208">C209+C210+C211</f>
        <v>0</v>
      </c>
      <c r="D208" s="86">
        <f t="shared" si="59"/>
        <v>0</v>
      </c>
      <c r="E208" s="86">
        <f t="shared" si="59"/>
        <v>0</v>
      </c>
      <c r="F208" s="86">
        <f t="shared" si="59"/>
        <v>0</v>
      </c>
      <c r="G208" s="86">
        <f t="shared" si="59"/>
        <v>0</v>
      </c>
      <c r="H208" s="86">
        <f t="shared" si="59"/>
        <v>0</v>
      </c>
    </row>
    <row r="209" spans="1:8" ht="15">
      <c r="A209" s="22" t="s">
        <v>447</v>
      </c>
      <c r="B209" s="51" t="s">
        <v>432</v>
      </c>
      <c r="C209" s="86"/>
      <c r="D209" s="90"/>
      <c r="E209" s="90"/>
      <c r="F209" s="90"/>
      <c r="G209" s="86"/>
      <c r="H209" s="86"/>
    </row>
    <row r="210" spans="1:8" ht="15">
      <c r="A210" s="22" t="s">
        <v>448</v>
      </c>
      <c r="B210" s="51" t="s">
        <v>434</v>
      </c>
      <c r="C210" s="86"/>
      <c r="D210" s="90"/>
      <c r="E210" s="90"/>
      <c r="F210" s="90"/>
      <c r="G210" s="86"/>
      <c r="H210" s="86"/>
    </row>
    <row r="211" spans="1:8" ht="15">
      <c r="A211" s="22" t="s">
        <v>449</v>
      </c>
      <c r="B211" s="51" t="s">
        <v>436</v>
      </c>
      <c r="C211" s="86"/>
      <c r="D211" s="90"/>
      <c r="E211" s="90"/>
      <c r="F211" s="90"/>
      <c r="G211" s="86"/>
      <c r="H211" s="86"/>
    </row>
    <row r="212" spans="1:8" ht="15">
      <c r="A212" s="22" t="s">
        <v>450</v>
      </c>
      <c r="B212" s="51" t="s">
        <v>438</v>
      </c>
      <c r="C212" s="86">
        <f aca="true" t="shared" si="60" ref="C212:H212">C213+C214+C215</f>
        <v>0</v>
      </c>
      <c r="D212" s="86">
        <f t="shared" si="60"/>
        <v>0</v>
      </c>
      <c r="E212" s="86">
        <f t="shared" si="60"/>
        <v>0</v>
      </c>
      <c r="F212" s="86">
        <f t="shared" si="60"/>
        <v>0</v>
      </c>
      <c r="G212" s="86">
        <f t="shared" si="60"/>
        <v>0</v>
      </c>
      <c r="H212" s="86">
        <f t="shared" si="60"/>
        <v>0</v>
      </c>
    </row>
    <row r="213" spans="1:8" ht="15">
      <c r="A213" s="22" t="s">
        <v>451</v>
      </c>
      <c r="B213" s="52" t="s">
        <v>440</v>
      </c>
      <c r="C213" s="45"/>
      <c r="D213" s="90"/>
      <c r="E213" s="90"/>
      <c r="F213" s="90"/>
      <c r="G213" s="45"/>
      <c r="H213" s="45"/>
    </row>
    <row r="214" spans="1:8" ht="15">
      <c r="A214" s="22" t="s">
        <v>453</v>
      </c>
      <c r="B214" s="52" t="s">
        <v>442</v>
      </c>
      <c r="C214" s="45"/>
      <c r="D214" s="90"/>
      <c r="E214" s="90"/>
      <c r="F214" s="90"/>
      <c r="G214" s="45"/>
      <c r="H214" s="45"/>
    </row>
    <row r="215" spans="1:8" ht="15">
      <c r="A215" s="22" t="s">
        <v>455</v>
      </c>
      <c r="B215" s="52" t="s">
        <v>436</v>
      </c>
      <c r="C215" s="45"/>
      <c r="D215" s="90"/>
      <c r="E215" s="90"/>
      <c r="F215" s="90"/>
      <c r="G215" s="45"/>
      <c r="H215" s="45"/>
    </row>
    <row r="216" spans="1:8" ht="15">
      <c r="A216" s="22" t="s">
        <v>456</v>
      </c>
      <c r="B216" s="51" t="s">
        <v>445</v>
      </c>
      <c r="C216" s="86">
        <f>C217</f>
        <v>0</v>
      </c>
      <c r="D216" s="86">
        <f aca="true" t="shared" si="61" ref="D216:H217">D217</f>
        <v>0</v>
      </c>
      <c r="E216" s="86">
        <f t="shared" si="61"/>
        <v>0</v>
      </c>
      <c r="F216" s="86">
        <f t="shared" si="61"/>
        <v>0</v>
      </c>
      <c r="G216" s="86">
        <f t="shared" si="61"/>
        <v>0</v>
      </c>
      <c r="H216" s="86">
        <f t="shared" si="61"/>
        <v>0</v>
      </c>
    </row>
    <row r="217" spans="1:8" ht="15">
      <c r="A217" s="22" t="s">
        <v>457</v>
      </c>
      <c r="B217" s="51" t="s">
        <v>189</v>
      </c>
      <c r="C217" s="86">
        <f>C218</f>
        <v>0</v>
      </c>
      <c r="D217" s="86">
        <f t="shared" si="61"/>
        <v>0</v>
      </c>
      <c r="E217" s="86">
        <f t="shared" si="61"/>
        <v>0</v>
      </c>
      <c r="F217" s="86">
        <f t="shared" si="61"/>
        <v>0</v>
      </c>
      <c r="G217" s="86">
        <f t="shared" si="61"/>
        <v>0</v>
      </c>
      <c r="H217" s="86">
        <f t="shared" si="61"/>
        <v>0</v>
      </c>
    </row>
    <row r="218" spans="1:8" ht="30">
      <c r="A218" s="22" t="s">
        <v>458</v>
      </c>
      <c r="B218" s="51" t="s">
        <v>195</v>
      </c>
      <c r="C218" s="86">
        <f aca="true" t="shared" si="62" ref="C218:H218">C221</f>
        <v>0</v>
      </c>
      <c r="D218" s="86">
        <f t="shared" si="62"/>
        <v>0</v>
      </c>
      <c r="E218" s="86">
        <f t="shared" si="62"/>
        <v>0</v>
      </c>
      <c r="F218" s="86">
        <f t="shared" si="62"/>
        <v>0</v>
      </c>
      <c r="G218" s="86">
        <f t="shared" si="62"/>
        <v>0</v>
      </c>
      <c r="H218" s="86">
        <f t="shared" si="62"/>
        <v>0</v>
      </c>
    </row>
    <row r="219" spans="1:8" ht="15">
      <c r="A219" s="22" t="s">
        <v>459</v>
      </c>
      <c r="B219" s="51" t="s">
        <v>206</v>
      </c>
      <c r="C219" s="86">
        <f aca="true" t="shared" si="63" ref="C219:C224">C220</f>
        <v>0</v>
      </c>
      <c r="D219" s="86">
        <f aca="true" t="shared" si="64" ref="D219:H221">D220</f>
        <v>0</v>
      </c>
      <c r="E219" s="86">
        <f t="shared" si="64"/>
        <v>0</v>
      </c>
      <c r="F219" s="86">
        <f t="shared" si="64"/>
        <v>0</v>
      </c>
      <c r="G219" s="86">
        <f t="shared" si="64"/>
        <v>0</v>
      </c>
      <c r="H219" s="86">
        <f t="shared" si="64"/>
        <v>0</v>
      </c>
    </row>
    <row r="220" spans="1:8" ht="15">
      <c r="A220" s="22" t="s">
        <v>460</v>
      </c>
      <c r="B220" s="51" t="s">
        <v>189</v>
      </c>
      <c r="C220" s="86">
        <f t="shared" si="63"/>
        <v>0</v>
      </c>
      <c r="D220" s="86">
        <f t="shared" si="64"/>
        <v>0</v>
      </c>
      <c r="E220" s="86">
        <f t="shared" si="64"/>
        <v>0</v>
      </c>
      <c r="F220" s="86">
        <f t="shared" si="64"/>
        <v>0</v>
      </c>
      <c r="G220" s="86">
        <f t="shared" si="64"/>
        <v>0</v>
      </c>
      <c r="H220" s="86">
        <f t="shared" si="64"/>
        <v>0</v>
      </c>
    </row>
    <row r="221" spans="1:8" ht="30">
      <c r="A221" s="22" t="s">
        <v>461</v>
      </c>
      <c r="B221" s="52" t="s">
        <v>195</v>
      </c>
      <c r="C221" s="86">
        <f t="shared" si="63"/>
        <v>0</v>
      </c>
      <c r="D221" s="86">
        <f t="shared" si="64"/>
        <v>0</v>
      </c>
      <c r="E221" s="86">
        <f t="shared" si="64"/>
        <v>0</v>
      </c>
      <c r="F221" s="86">
        <f t="shared" si="64"/>
        <v>0</v>
      </c>
      <c r="G221" s="86">
        <f t="shared" si="64"/>
        <v>0</v>
      </c>
      <c r="H221" s="86">
        <f t="shared" si="64"/>
        <v>0</v>
      </c>
    </row>
    <row r="222" spans="1:8" ht="15">
      <c r="A222" s="22" t="s">
        <v>462</v>
      </c>
      <c r="B222" s="51" t="s">
        <v>438</v>
      </c>
      <c r="C222" s="86">
        <f t="shared" si="63"/>
        <v>0</v>
      </c>
      <c r="D222" s="86">
        <f aca="true" t="shared" si="65" ref="D222:H224">D223</f>
        <v>0</v>
      </c>
      <c r="E222" s="86">
        <f t="shared" si="65"/>
        <v>0</v>
      </c>
      <c r="F222" s="86">
        <f t="shared" si="65"/>
        <v>0</v>
      </c>
      <c r="G222" s="86">
        <f t="shared" si="65"/>
        <v>0</v>
      </c>
      <c r="H222" s="86">
        <f t="shared" si="65"/>
        <v>0</v>
      </c>
    </row>
    <row r="223" spans="1:8" ht="15">
      <c r="A223" s="22" t="s">
        <v>463</v>
      </c>
      <c r="B223" s="51" t="s">
        <v>442</v>
      </c>
      <c r="C223" s="86">
        <f t="shared" si="63"/>
        <v>0</v>
      </c>
      <c r="D223" s="86">
        <f t="shared" si="65"/>
        <v>0</v>
      </c>
      <c r="E223" s="86">
        <f t="shared" si="65"/>
        <v>0</v>
      </c>
      <c r="F223" s="86">
        <f t="shared" si="65"/>
        <v>0</v>
      </c>
      <c r="G223" s="86">
        <f t="shared" si="65"/>
        <v>0</v>
      </c>
      <c r="H223" s="86">
        <f t="shared" si="65"/>
        <v>0</v>
      </c>
    </row>
    <row r="224" spans="1:8" ht="15">
      <c r="A224" s="22" t="s">
        <v>464</v>
      </c>
      <c r="B224" s="51" t="s">
        <v>452</v>
      </c>
      <c r="C224" s="86">
        <f t="shared" si="63"/>
        <v>0</v>
      </c>
      <c r="D224" s="86">
        <f t="shared" si="65"/>
        <v>0</v>
      </c>
      <c r="E224" s="86">
        <f t="shared" si="65"/>
        <v>0</v>
      </c>
      <c r="F224" s="86">
        <f t="shared" si="65"/>
        <v>0</v>
      </c>
      <c r="G224" s="86">
        <f t="shared" si="65"/>
        <v>0</v>
      </c>
      <c r="H224" s="86">
        <f t="shared" si="65"/>
        <v>0</v>
      </c>
    </row>
    <row r="225" spans="1:8" ht="15">
      <c r="A225" s="22" t="s">
        <v>465</v>
      </c>
      <c r="B225" s="52" t="s">
        <v>454</v>
      </c>
      <c r="C225" s="45"/>
      <c r="D225" s="90"/>
      <c r="E225" s="90"/>
      <c r="F225" s="90"/>
      <c r="G225" s="45"/>
      <c r="H225" s="45"/>
    </row>
    <row r="227" spans="2:4" ht="15">
      <c r="B227" s="5" t="s">
        <v>500</v>
      </c>
      <c r="D227" s="4" t="s">
        <v>504</v>
      </c>
    </row>
    <row r="228" spans="2:4" ht="15">
      <c r="B228" s="5" t="s">
        <v>501</v>
      </c>
      <c r="D228" s="4" t="s">
        <v>502</v>
      </c>
    </row>
  </sheetData>
  <sheetProtection/>
  <protectedRanges>
    <protectedRange sqref="B2:B3 C1:C3" name="Zonă1_1"/>
    <protectedRange sqref="G117:H125 G46:H51 G156:H159 G70:H70 G37:H40 G127:H131 G103:H108 G62:H66 G81:H85 G92:H93 G54:H57 G154:H154 G111:H115 G138:H140 G25:H33 G35:H35 G95:H100" name="Zonă3"/>
    <protectedRange sqref="B1" name="Zonă1_1_1_1_1_1"/>
  </protectedRanges>
  <printOptions horizontalCentered="1"/>
  <pageMargins left="0.7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Dut Mira</cp:lastModifiedBy>
  <dcterms:created xsi:type="dcterms:W3CDTF">2020-08-07T11:14:11Z</dcterms:created>
  <dcterms:modified xsi:type="dcterms:W3CDTF">2021-05-13T10:18:39Z</dcterms:modified>
  <cp:category/>
  <cp:version/>
  <cp:contentType/>
  <cp:contentStatus/>
</cp:coreProperties>
</file>